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G/oWCvRG7yIlrPa5kuz3+wbGUFfz6JzQ5GV/HFXS2K9J/i1U5RMUdq6pDb7yPsLTn5CQaiQgYak6jr12rsOPKg==" workbookSaltValue="wo1xrSFilK4wE5BdlEgy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G26" i="14"/>
  <c r="K32" i="20"/>
  <c r="O17" i="11"/>
  <c r="AJ32" i="20"/>
  <c r="G30" i="14"/>
  <c r="G23" i="14"/>
  <c r="U18" i="11"/>
  <c r="AX32" i="20"/>
  <c r="L32" i="20"/>
  <c r="H32" i="20"/>
  <c r="F32" i="20"/>
  <c r="S32" i="20"/>
  <c r="AQ32" i="21"/>
  <c r="F28" i="2" l="1"/>
  <c r="BF17" i="8"/>
  <c r="T31" i="8"/>
  <c r="X12" i="17"/>
  <c r="R8" i="9"/>
  <c r="R13" i="17"/>
  <c r="P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K9" i="12"/>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L22" i="2"/>
  <c r="X22" i="16"/>
  <c r="S16" i="17"/>
  <c r="S17" i="17"/>
  <c r="L12" i="2"/>
  <c r="X19" i="16"/>
  <c r="X10" i="21"/>
  <c r="L20" i="2"/>
  <c r="U9" i="17"/>
  <c r="U31" i="17" s="1"/>
  <c r="V10" i="16"/>
  <c r="V9" i="16"/>
  <c r="X13" i="16"/>
  <c r="BF11" i="11"/>
  <c r="BL9" i="11"/>
  <c r="BF19" i="11"/>
  <c r="BL18" i="11"/>
  <c r="BK12" i="11"/>
  <c r="S18" i="16"/>
  <c r="S23" i="16" s="1"/>
  <c r="S9" i="17"/>
  <c r="BI10" i="11"/>
  <c r="BM25" i="11"/>
  <c r="P25" i="11" s="1"/>
  <c r="V28" i="11"/>
  <c r="BI18" i="11"/>
  <c r="R25" i="14"/>
  <c r="V20" i="11"/>
  <c r="BL25" i="11"/>
  <c r="BG19" i="11"/>
  <c r="AZ9" i="11"/>
  <c r="T16" i="16"/>
  <c r="BW20" i="20"/>
  <c r="BV19" i="16"/>
  <c r="BI29" i="11"/>
  <c r="BL29" i="11"/>
  <c r="BW18" i="20"/>
  <c r="BW12" i="20"/>
  <c r="BW16" i="20"/>
  <c r="BV10" i="16"/>
  <c r="V12" i="16"/>
  <c r="S28" i="17"/>
  <c r="Q18" i="17"/>
  <c r="AQ10" i="21"/>
  <c r="S10" i="17"/>
  <c r="BG17" i="11"/>
  <c r="P17" i="11" s="1"/>
  <c r="AO25" i="17"/>
  <c r="BK10" i="11"/>
  <c r="L28" i="2"/>
  <c r="L17" i="2"/>
  <c r="AA11" i="16"/>
  <c r="BV18" i="16"/>
  <c r="BV12" i="16"/>
  <c r="BV16" i="16"/>
  <c r="BV23" i="16" s="1"/>
  <c r="BV26" i="16" s="1"/>
  <c r="BV30" i="16" s="1"/>
  <c r="U10" i="17"/>
  <c r="BU18" i="17"/>
  <c r="BU12" i="17"/>
  <c r="T16" i="11"/>
  <c r="BH10" i="11"/>
  <c r="AO29" i="17"/>
  <c r="BM21" i="11"/>
  <c r="BH25" i="11"/>
  <c r="BI21" i="11"/>
  <c r="L10" i="2"/>
  <c r="X21" i="20"/>
  <c r="L16" i="2"/>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P12"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<sst xmlns="http://schemas.openxmlformats.org/spreadsheetml/2006/main" count="2682" uniqueCount="1192">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</sst>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5rHV337yv7+8HGNcgv88OWPPozQ0qIQydMJgdVpplylpqSgwDgca/yTlscQ/XYQ7F4kIdrmkDpjwv8DMJM9Cw==" saltValue="3go4LP+hXft5AbU0vXmy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LA RIOJA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42.873170731707319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361</v>
      </c>
      <c r="D17" s="239">
        <f>IF(ISNUMBER(IF(D_I="SI",Datos!I17,Datos!I17+Datos!AC17)),IF(D_I="SI",Datos!I17,Datos!I17+Datos!AC17)," - ")</f>
        <v>358</v>
      </c>
      <c r="E17" s="240">
        <f>IF(ISNUMBER(IF(D_I="SI",Datos!J17,Datos!J17+Datos!AD17)),IF(D_I="SI",Datos!J17,Datos!J17+Datos!AD17)," - ")</f>
        <v>227</v>
      </c>
      <c r="F17" s="240">
        <f>IF(ISNUMBER(IF(D_I="SI",Datos!K17,Datos!K17+Datos!AE17)),IF(D_I="SI",Datos!K17,Datos!K17+Datos!AE17)," - ")</f>
        <v>209</v>
      </c>
      <c r="G17" s="1390" t="str">
        <f>IF(Datos!E17&lt;&gt;"",Datos!E17,Datos!D17)</f>
        <v>04</v>
      </c>
      <c r="H17" s="241">
        <f>IF(ISNUMBER(IF(D_I="SI",Datos!L17,Datos!L17+Datos!AF17)),IF(D_I="SI",Datos!L17,Datos!L17+Datos!AF17)," - ")</f>
        <v>379</v>
      </c>
      <c r="I17" s="1400" t="str">
        <f>IF(ISNUMBER(Datos!AS17/Datos!BM17),Datos!AS17/Datos!BM17," - ")</f>
        <v xml:space="preserve"> - </v>
      </c>
      <c r="J17" s="1401">
        <f>IF(ISNUMBER(Datos!BY17/Datos!CN17),Datos!BY17/Datos!CN17," - ")</f>
        <v>0</v>
      </c>
      <c r="K17" s="244">
        <f t="shared" si="3"/>
        <v>4.9861495844875349E-2</v>
      </c>
      <c r="L17" s="1402">
        <f>IF(ISNUMBER(NºAsuntos!I17/NºAsuntos!G17),(NºAsuntos!I17/NºAsuntos!G17)*11," - ")</f>
        <v>19.94736842105263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v>
      </c>
      <c r="D18" s="239">
        <f>IF(ISNUMBER(IF(D_I="SI",Datos!I18,Datos!I18+Datos!AC18)),IF(D_I="SI",Datos!I18,Datos!I18+Datos!AC18)," - ")</f>
        <v>29</v>
      </c>
      <c r="E18" s="240">
        <f>IF(ISNUMBER(IF(D_I="SI",Datos!J18,Datos!J18+Datos!AD18)),IF(D_I="SI",Datos!J18,Datos!J18+Datos!AD18)," - ")</f>
        <v>25</v>
      </c>
      <c r="F18" s="240">
        <f>IF(ISNUMBER(IF(D_I="SI",Datos!K18,Datos!K18+Datos!AE18)),IF(D_I="SI",Datos!K18,Datos!K18+Datos!AE18)," - ")</f>
        <v>18</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0.2413793103448276</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390</v>
      </c>
      <c r="D23" s="1407">
        <f>SUBTOTAL(9,D16:D22)</f>
        <v>387</v>
      </c>
      <c r="E23" s="1408">
        <f>SUBTOTAL(9,E16:E22)</f>
        <v>252</v>
      </c>
      <c r="F23" s="1408">
        <f>SUBTOTAL(9,F16:F22)</f>
        <v>227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390</v>
      </c>
      <c r="D31" s="1435">
        <f>SUBTOTAL(9,D9:D30)</f>
        <v>387</v>
      </c>
      <c r="E31" s="1436">
        <f>SUBTOTAL(9,E9:E30)</f>
        <v>252</v>
      </c>
      <c r="F31" s="1436">
        <f>SUBTOTAL(9,F9:F30)</f>
        <v>227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XeiAi4e2cDknkXQjRKVATCNQYW+kJgwDnEtRWmHChzk1iAVOt0fc/uCD+85dRsZ+CoEHcI+nC1tR/fKN8gAuw==" saltValue="7rbL88KqMBsWo10M/D1W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tdq7Ux2zHiMXA2eYdGlod+fSKaVkD6QNcSnC5js/srK3b89GqSnNSE1EY1+EbkRvxwWvXaFPVnmNTDF4zHoeQ==" saltValue="YQdoNAaw2QFb/m8PdBvk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2</v>
      </c>
      <c r="T10" s="194">
        <v>2</v>
      </c>
      <c r="U10" s="194">
        <v>3</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3</v>
      </c>
      <c r="BB10" s="139">
        <f t="shared" si="0"/>
        <v>1</v>
      </c>
      <c r="BC10" s="135">
        <f t="shared" si="0"/>
        <v>1</v>
      </c>
      <c r="BD10" s="136">
        <f>IF(ISNUMBER(BA10/AZ10),BA10/AZ10," - ")</f>
        <v>1.5</v>
      </c>
      <c r="BE10" s="137">
        <f>IF(ISNUMBER(BB10/BA10),BB10/BA10, " - ")</f>
        <v>0.33333333333333331</v>
      </c>
      <c r="BF10" s="137">
        <f>IF(ISNUMBER(BC10/BA10),BC10/BA10, " - ")</f>
        <v>0.33333333333333331</v>
      </c>
      <c r="BG10" s="209">
        <f>IF(ISNUMBER((AY10+AZ10)/BA10),(AY10+AZ10)/BA10," - ")</f>
        <v>1.3333333333333333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697</v>
      </c>
      <c r="J12" s="196">
        <v>244</v>
      </c>
      <c r="K12" s="196">
        <v>180</v>
      </c>
      <c r="L12" s="196">
        <v>761</v>
      </c>
      <c r="M12" s="196">
        <v>31</v>
      </c>
      <c r="N12" s="196">
        <v>76</v>
      </c>
      <c r="O12" s="194">
        <v>110</v>
      </c>
      <c r="P12" s="196">
        <v>79</v>
      </c>
      <c r="Q12" s="196">
        <v>26</v>
      </c>
      <c r="R12" s="196">
        <v>1221</v>
      </c>
      <c r="S12" s="196">
        <v>543</v>
      </c>
      <c r="T12" s="196">
        <v>241</v>
      </c>
      <c r="U12" s="196">
        <v>190</v>
      </c>
      <c r="V12" s="196">
        <v>594</v>
      </c>
      <c r="W12" s="196">
        <v>59</v>
      </c>
      <c r="X12" s="202">
        <v>73</v>
      </c>
      <c r="Y12" s="204">
        <v>50</v>
      </c>
      <c r="Z12" s="194">
        <v>13</v>
      </c>
      <c r="AA12" s="194">
        <v>25</v>
      </c>
      <c r="AB12" s="194">
        <v>38</v>
      </c>
      <c r="AC12" s="196">
        <v>0</v>
      </c>
      <c r="AD12" s="196">
        <v>0</v>
      </c>
      <c r="AE12" s="196">
        <v>0</v>
      </c>
      <c r="AF12" s="202">
        <v>0</v>
      </c>
      <c r="AG12" s="215">
        <v>23</v>
      </c>
      <c r="AH12" s="196">
        <v>16</v>
      </c>
      <c r="AI12" s="196">
        <v>22</v>
      </c>
      <c r="AJ12" s="216">
        <v>17</v>
      </c>
      <c r="AK12" s="195">
        <v>0</v>
      </c>
      <c r="AL12" s="196">
        <v>0</v>
      </c>
      <c r="AM12" s="196">
        <v>0</v>
      </c>
      <c r="AN12" s="202">
        <v>0</v>
      </c>
      <c r="AO12" s="283">
        <v>2</v>
      </c>
      <c r="AP12" s="168">
        <v>2</v>
      </c>
      <c r="AQ12" s="168">
        <v>2</v>
      </c>
      <c r="AR12" s="167">
        <v>2</v>
      </c>
      <c r="AS12" s="381" t="s">
        <v>1075</v>
      </c>
      <c r="AT12" s="216"/>
      <c r="AU12" s="215"/>
      <c r="AV12" s="216"/>
      <c r="AW12" s="215"/>
      <c r="AX12" s="216"/>
      <c r="AY12" s="136">
        <f t="shared" si="1"/>
        <v>566</v>
      </c>
      <c r="AZ12" s="137">
        <f t="shared" si="1"/>
        <v>257</v>
      </c>
      <c r="BA12" s="137">
        <f t="shared" si="1"/>
        <v>212</v>
      </c>
      <c r="BB12" s="137">
        <f t="shared" si="1"/>
        <v>611</v>
      </c>
      <c r="BC12" s="135">
        <f>IF(ISNUMBER(X12),X12," - ")</f>
        <v>73</v>
      </c>
      <c r="BD12" s="136">
        <f t="shared" si="2"/>
        <v>0.82490272373540852</v>
      </c>
      <c r="BE12" s="137">
        <f t="shared" si="3"/>
        <v>2.8820754716981134</v>
      </c>
      <c r="BF12" s="137">
        <f t="shared" si="4"/>
        <v>0.34433962264150941</v>
      </c>
      <c r="BG12" s="209">
        <f t="shared" si="5"/>
        <v>3.8820754716981134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697</v>
      </c>
      <c r="J14" s="197">
        <f t="shared" si="7"/>
        <v>244</v>
      </c>
      <c r="K14" s="197">
        <f t="shared" si="7"/>
        <v>180</v>
      </c>
      <c r="L14" s="197">
        <f t="shared" si="7"/>
        <v>761</v>
      </c>
      <c r="M14" s="197">
        <f t="shared" si="7"/>
        <v>31</v>
      </c>
      <c r="N14" s="197">
        <f t="shared" si="7"/>
        <v>76</v>
      </c>
      <c r="O14" s="197">
        <f t="shared" si="7"/>
        <v>110</v>
      </c>
      <c r="P14" s="197">
        <f t="shared" si="7"/>
        <v>79</v>
      </c>
      <c r="Q14" s="197">
        <f t="shared" si="7"/>
        <v>26</v>
      </c>
      <c r="R14" s="197">
        <f t="shared" si="7"/>
        <v>1221</v>
      </c>
      <c r="S14" s="197">
        <f t="shared" si="7"/>
        <v>545</v>
      </c>
      <c r="T14" s="197">
        <f t="shared" si="7"/>
        <v>243</v>
      </c>
      <c r="U14" s="197">
        <f t="shared" si="7"/>
        <v>193</v>
      </c>
      <c r="V14" s="197">
        <f t="shared" si="7"/>
        <v>595</v>
      </c>
      <c r="W14" s="197">
        <f t="shared" si="7"/>
        <v>60</v>
      </c>
      <c r="X14" s="197">
        <f t="shared" si="7"/>
        <v>73</v>
      </c>
      <c r="Y14" s="197">
        <f t="shared" si="7"/>
        <v>50</v>
      </c>
      <c r="Z14" s="197">
        <f t="shared" si="7"/>
        <v>13</v>
      </c>
      <c r="AA14" s="197">
        <f t="shared" si="7"/>
        <v>25</v>
      </c>
      <c r="AB14" s="197">
        <f t="shared" si="7"/>
        <v>38</v>
      </c>
      <c r="AC14" s="197">
        <f t="shared" si="7"/>
        <v>0</v>
      </c>
      <c r="AD14" s="197">
        <f t="shared" si="7"/>
        <v>0</v>
      </c>
      <c r="AE14" s="197">
        <f t="shared" si="7"/>
        <v>0</v>
      </c>
      <c r="AF14" s="197">
        <f>SUBTOTAL(9,AF9:AF13)</f>
        <v>0</v>
      </c>
      <c r="AG14" s="197">
        <f t="shared" ref="AG14:AT14" si="8">SUBTOTAL(9,AG8:AG13)</f>
        <v>23</v>
      </c>
      <c r="AH14" s="197">
        <f t="shared" si="8"/>
        <v>16</v>
      </c>
      <c r="AI14" s="197">
        <f t="shared" si="8"/>
        <v>22</v>
      </c>
      <c r="AJ14" s="197">
        <f t="shared" si="8"/>
        <v>17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568</v>
      </c>
      <c r="AZ14" s="197">
        <f>SUBTOTAL(9,AZ8:AZ13)</f>
        <v>259</v>
      </c>
      <c r="BA14" s="197">
        <f>SUBTOTAL(9,BA8:BA13)</f>
        <v>215</v>
      </c>
      <c r="BB14" s="197">
        <f>SUBTOTAL(9,BB8:BB13)</f>
        <v>612</v>
      </c>
      <c r="BC14" s="197">
        <f>SUBTOTAL(9,BC8:BC13)</f>
        <v>74</v>
      </c>
      <c r="BD14" s="219">
        <f>IF(ISNUMBER(BA14/AZ14),BA14/AZ14," - ")</f>
        <v>0.83011583011583012</v>
      </c>
      <c r="BE14" s="220">
        <f>IF(ISNUMBER(BB14/BA14),BB14/BA14, " - ")</f>
        <v>2.8465116279069766</v>
      </c>
      <c r="BF14" s="220">
        <f>IF(ISNUMBER(BC14/BA14),BC14/BA14, " - ")</f>
        <v>0.34418604651162793</v>
      </c>
      <c r="BG14" s="221">
        <f>IF(ISNUMBER((AY14+AZ14)/BA14),(AY14+AZ14)/BA14," - ")</f>
        <v>3.8465116279069766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358</v>
      </c>
      <c r="J17" s="196">
        <v>227</v>
      </c>
      <c r="K17" s="196">
        <v>209</v>
      </c>
      <c r="L17" s="196">
        <v>379</v>
      </c>
      <c r="M17" s="196">
        <v>44</v>
      </c>
      <c r="N17" s="196">
        <v>86</v>
      </c>
      <c r="O17" s="194">
        <v>0</v>
      </c>
      <c r="P17" s="196">
        <v>8</v>
      </c>
      <c r="Q17" s="196">
        <v>0</v>
      </c>
      <c r="R17" s="196">
        <v>70</v>
      </c>
      <c r="S17" s="196">
        <v>250</v>
      </c>
      <c r="T17" s="196">
        <v>274</v>
      </c>
      <c r="U17" s="196">
        <v>206</v>
      </c>
      <c r="V17" s="196">
        <v>319</v>
      </c>
      <c r="W17" s="196">
        <v>49</v>
      </c>
      <c r="X17" s="202">
        <v>85</v>
      </c>
      <c r="Y17" s="215">
        <v>0</v>
      </c>
      <c r="Z17" s="196">
        <v>0</v>
      </c>
      <c r="AA17" s="196">
        <v>0</v>
      </c>
      <c r="AB17" s="196">
        <v>0</v>
      </c>
      <c r="AC17" s="196">
        <v>3</v>
      </c>
      <c r="AD17" s="196">
        <v>4</v>
      </c>
      <c r="AE17" s="196">
        <v>6</v>
      </c>
      <c r="AF17" s="202">
        <v>1</v>
      </c>
      <c r="AG17" s="215">
        <v>0</v>
      </c>
      <c r="AH17" s="196">
        <v>0</v>
      </c>
      <c r="AI17" s="196">
        <v>0</v>
      </c>
      <c r="AJ17" s="216">
        <v>0</v>
      </c>
      <c r="AK17" s="195">
        <v>1</v>
      </c>
      <c r="AL17" s="196">
        <v>2</v>
      </c>
      <c r="AM17" s="196">
        <v>2</v>
      </c>
      <c r="AN17" s="202">
        <v>1</v>
      </c>
      <c r="AO17" s="283">
        <v>2</v>
      </c>
      <c r="AP17" s="168">
        <v>2</v>
      </c>
      <c r="AQ17" s="168">
        <v>2</v>
      </c>
      <c r="AR17" s="168">
        <v>2</v>
      </c>
      <c r="AS17" s="381" t="s">
        <v>650</v>
      </c>
      <c r="AT17" s="216"/>
      <c r="AU17" s="215"/>
      <c r="AV17" s="216"/>
      <c r="AW17" s="215"/>
      <c r="AX17" s="216"/>
      <c r="AY17" s="136">
        <f t="shared" si="10"/>
        <v>250</v>
      </c>
      <c r="AZ17" s="137">
        <f t="shared" si="10"/>
        <v>274</v>
      </c>
      <c r="BA17" s="137">
        <f t="shared" si="10"/>
        <v>206</v>
      </c>
      <c r="BB17" s="137">
        <f t="shared" si="10"/>
        <v>319</v>
      </c>
      <c r="BC17" s="135">
        <f>IF(ISNUMBER(W17),W17," - ")</f>
        <v>49</v>
      </c>
      <c r="BD17" s="136">
        <f t="shared" ref="BD17:BD22" si="12">IF(ISNUMBER(BA17/AZ17),BA17/AZ17," - ")</f>
        <v>0.75182481751824815</v>
      </c>
      <c r="BE17" s="137">
        <f t="shared" ref="BE17:BE22" si="13">IF(ISNUMBER(BB17/BA17),BB17/BA17, " - ")</f>
        <v>1.5485436893203883</v>
      </c>
      <c r="BF17" s="137">
        <f t="shared" ref="BF17:BF22" si="14">IF(ISNUMBER(BC17/BA17),BC17/BA17, " - ")</f>
        <v>0.23786407766990292</v>
      </c>
      <c r="BG17" s="209">
        <f t="shared" si="11"/>
        <v>2.5436893203883497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v>
      </c>
      <c r="J18" s="196">
        <v>25</v>
      </c>
      <c r="K18" s="196">
        <v>18</v>
      </c>
      <c r="L18" s="196">
        <v>36</v>
      </c>
      <c r="M18" s="196">
        <v>1</v>
      </c>
      <c r="N18" s="196">
        <v>12</v>
      </c>
      <c r="O18" s="196">
        <v>0</v>
      </c>
      <c r="P18" s="196">
        <v>0</v>
      </c>
      <c r="Q18" s="196">
        <v>0</v>
      </c>
      <c r="R18" s="196">
        <v>0</v>
      </c>
      <c r="S18" s="196">
        <v>14</v>
      </c>
      <c r="T18" s="196">
        <v>35</v>
      </c>
      <c r="U18" s="196">
        <v>27</v>
      </c>
      <c r="V18" s="196">
        <v>22</v>
      </c>
      <c r="W18" s="196">
        <v>5</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35</v>
      </c>
      <c r="BA18" s="139">
        <f t="shared" si="15"/>
        <v>27</v>
      </c>
      <c r="BB18" s="139">
        <f t="shared" si="15"/>
        <v>22</v>
      </c>
      <c r="BC18" s="135">
        <f>IF(ISNUMBER(W18),W18," - ")</f>
        <v>5</v>
      </c>
      <c r="BD18" s="136">
        <f>IF(ISNUMBER(BA18/AZ18),BA18/AZ18," - ")</f>
        <v>0.77142857142857146</v>
      </c>
      <c r="BE18" s="137">
        <f>IF(ISNUMBER(BB18/BA18),BB18/BA18, " - ")</f>
        <v>0.81481481481481477</v>
      </c>
      <c r="BF18" s="137">
        <f>IF(ISNUMBER(BC18/BA18),BC18/BA18, " - ")</f>
        <v>0.18518518518518517</v>
      </c>
      <c r="BG18" s="209">
        <f>IF(ISNUMBER((AY18+AZ18)/BA18),(AY18+AZ18)/BA18," - ")</f>
        <v>1.8148148148148149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387</v>
      </c>
      <c r="J23" s="197">
        <f t="shared" si="21"/>
        <v>252</v>
      </c>
      <c r="K23" s="197">
        <f t="shared" si="21"/>
        <v>227</v>
      </c>
      <c r="L23" s="197">
        <f t="shared" si="21"/>
        <v>415</v>
      </c>
      <c r="M23" s="197">
        <f t="shared" si="21"/>
        <v>45</v>
      </c>
      <c r="N23" s="197">
        <f t="shared" si="21"/>
        <v>98</v>
      </c>
      <c r="O23" s="197">
        <f t="shared" si="21"/>
        <v>0</v>
      </c>
      <c r="P23" s="197">
        <f t="shared" si="21"/>
        <v>8</v>
      </c>
      <c r="Q23" s="197">
        <f t="shared" si="21"/>
        <v>0</v>
      </c>
      <c r="R23" s="197">
        <f t="shared" si="21"/>
        <v>70</v>
      </c>
      <c r="S23" s="197">
        <f t="shared" si="21"/>
        <v>264</v>
      </c>
      <c r="T23" s="197">
        <f t="shared" si="21"/>
        <v>309</v>
      </c>
      <c r="U23" s="197">
        <f t="shared" si="21"/>
        <v>233</v>
      </c>
      <c r="V23" s="197">
        <f t="shared" si="21"/>
        <v>341</v>
      </c>
      <c r="W23" s="197">
        <f t="shared" si="21"/>
        <v>54</v>
      </c>
      <c r="X23" s="197">
        <f t="shared" si="21"/>
        <v>96</v>
      </c>
      <c r="Y23" s="197">
        <f t="shared" si="21"/>
        <v>0</v>
      </c>
      <c r="Z23" s="197">
        <f t="shared" si="21"/>
        <v>0</v>
      </c>
      <c r="AA23" s="197">
        <f t="shared" si="21"/>
        <v>0</v>
      </c>
      <c r="AB23" s="197">
        <f t="shared" si="21"/>
        <v>0</v>
      </c>
      <c r="AC23" s="197">
        <f t="shared" si="21"/>
        <v>3</v>
      </c>
      <c r="AD23" s="197">
        <f t="shared" si="21"/>
        <v>4</v>
      </c>
      <c r="AE23" s="197">
        <f t="shared" si="21"/>
        <v>6</v>
      </c>
      <c r="AF23" s="197">
        <f t="shared" si="21"/>
        <v>1</v>
      </c>
      <c r="AG23" s="197">
        <f t="shared" si="21"/>
        <v>0</v>
      </c>
      <c r="AH23" s="197">
        <f t="shared" si="21"/>
        <v>0</v>
      </c>
      <c r="AI23" s="197">
        <f t="shared" si="21"/>
        <v>0</v>
      </c>
      <c r="AJ23" s="197">
        <f t="shared" si="21"/>
        <v>0</v>
      </c>
      <c r="AK23" s="197">
        <f t="shared" si="21"/>
        <v>1</v>
      </c>
      <c r="AL23" s="197">
        <f t="shared" si="21"/>
        <v>2</v>
      </c>
      <c r="AM23" s="197">
        <f t="shared" si="21"/>
        <v>2</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264</v>
      </c>
      <c r="AZ23" s="197">
        <f>SUBTOTAL(9,AZ15:AZ22)</f>
        <v>309</v>
      </c>
      <c r="BA23" s="197">
        <f>SUBTOTAL(9,BA15:BA22)</f>
        <v>233</v>
      </c>
      <c r="BB23" s="197">
        <f>SUBTOTAL(9,BB15:BB22)</f>
        <v>341</v>
      </c>
      <c r="BC23" s="197">
        <f>SUBTOTAL(9,BC15:BC22)</f>
        <v>54</v>
      </c>
      <c r="BD23" s="219">
        <f>IF(ISNUMBER(BA23/AZ23),BA23/AZ23," - ")</f>
        <v>0.75404530744336573</v>
      </c>
      <c r="BE23" s="220">
        <f>IF(ISNUMBER(BB23/BA23),BB23/BA23, " - ")</f>
        <v>1.4635193133047211</v>
      </c>
      <c r="BF23" s="220">
        <f>IF(ISNUMBER(BC23/BA23),BC23/BA23, " - ")</f>
        <v>0.23175965665236051</v>
      </c>
      <c r="BG23" s="221">
        <f>IF(ISNUMBER((AY23+AZ23)/BA23),(AY23+AZ23)/BA23," - ")</f>
        <v>2.459227467811159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1084</v>
      </c>
      <c r="J31" s="144">
        <f t="shared" si="36"/>
        <v>496</v>
      </c>
      <c r="K31" s="144">
        <f t="shared" si="36"/>
        <v>407</v>
      </c>
      <c r="L31" s="144">
        <f t="shared" si="36"/>
        <v>1176</v>
      </c>
      <c r="M31" s="144">
        <f t="shared" si="36"/>
        <v>76</v>
      </c>
      <c r="N31" s="144">
        <f t="shared" si="36"/>
        <v>174</v>
      </c>
      <c r="O31" s="144">
        <f t="shared" si="36"/>
        <v>110</v>
      </c>
      <c r="P31" s="144">
        <f t="shared" si="36"/>
        <v>87</v>
      </c>
      <c r="Q31" s="144">
        <f t="shared" si="36"/>
        <v>26</v>
      </c>
      <c r="R31" s="144">
        <f t="shared" si="36"/>
        <v>1291</v>
      </c>
      <c r="S31" s="144">
        <f t="shared" si="36"/>
        <v>809</v>
      </c>
      <c r="T31" s="144">
        <f t="shared" si="36"/>
        <v>552</v>
      </c>
      <c r="U31" s="144">
        <f t="shared" si="36"/>
        <v>426</v>
      </c>
      <c r="V31" s="144">
        <f t="shared" si="36"/>
        <v>936</v>
      </c>
      <c r="W31" s="144">
        <f t="shared" si="36"/>
        <v>114</v>
      </c>
      <c r="X31" s="144">
        <f t="shared" si="36"/>
        <v>169</v>
      </c>
      <c r="Y31" s="144">
        <f t="shared" si="36"/>
        <v>50</v>
      </c>
      <c r="Z31" s="144">
        <f t="shared" si="36"/>
        <v>13</v>
      </c>
      <c r="AA31" s="144">
        <f t="shared" si="36"/>
        <v>25</v>
      </c>
      <c r="AB31" s="144">
        <f t="shared" si="36"/>
        <v>38</v>
      </c>
      <c r="AC31" s="144">
        <f t="shared" si="36"/>
        <v>3</v>
      </c>
      <c r="AD31" s="144">
        <f t="shared" si="36"/>
        <v>4</v>
      </c>
      <c r="AE31" s="144">
        <f t="shared" si="36"/>
        <v>6</v>
      </c>
      <c r="AF31" s="144">
        <f t="shared" si="36"/>
        <v>1</v>
      </c>
      <c r="AG31" s="144">
        <f t="shared" si="36"/>
        <v>23</v>
      </c>
      <c r="AH31" s="144">
        <f t="shared" si="36"/>
        <v>16</v>
      </c>
      <c r="AI31" s="144">
        <f t="shared" si="36"/>
        <v>22</v>
      </c>
      <c r="AJ31" s="144">
        <f t="shared" si="36"/>
        <v>17</v>
      </c>
      <c r="AK31" s="144">
        <f t="shared" si="36"/>
        <v>1</v>
      </c>
      <c r="AL31" s="144">
        <f t="shared" si="36"/>
        <v>2</v>
      </c>
      <c r="AM31" s="144">
        <f t="shared" si="36"/>
        <v>2</v>
      </c>
      <c r="AN31" s="224">
        <f t="shared" si="36"/>
        <v>1</v>
      </c>
      <c r="AO31" s="225">
        <v>3</v>
      </c>
      <c r="AP31" s="225">
        <v>2</v>
      </c>
      <c r="AQ31" s="225">
        <v>2</v>
      </c>
      <c r="AR31" s="225">
        <v>2</v>
      </c>
      <c r="AS31" s="166">
        <f t="shared" si="36"/>
        <v>0</v>
      </c>
      <c r="AT31" s="166">
        <f t="shared" si="36"/>
        <v>0</v>
      </c>
      <c r="AU31" s="225"/>
      <c r="AV31" s="226"/>
      <c r="AW31" s="225"/>
      <c r="AX31" s="226"/>
      <c r="AY31" s="143">
        <f>SUBTOTAL(9,AY9:AY30)</f>
        <v>832</v>
      </c>
      <c r="AZ31" s="144">
        <f>SUBTOTAL(9,AZ9:AZ30)</f>
        <v>568</v>
      </c>
      <c r="BA31" s="144">
        <f>SUBTOTAL(9,BA9:BA30)</f>
        <v>448</v>
      </c>
      <c r="BB31" s="144">
        <f>SUBTOTAL(9,BB9:BB30)</f>
        <v>953</v>
      </c>
      <c r="BC31" s="145">
        <f>SUBTOTAL(9,BC9:BC30)</f>
        <v>128</v>
      </c>
      <c r="BD31" s="227">
        <f>IF(ISNUMBER(BA31/AZ31),BA31/AZ31," - ")</f>
        <v>0.78873239436619713</v>
      </c>
      <c r="BE31" s="224">
        <f>IF(ISNUMBER(BB31/BA31),BB31/BA31, " - ")</f>
        <v>2.1272321428571428</v>
      </c>
      <c r="BF31" s="224">
        <f>IF(ISNUMBER(BC31/BA31),BC31/BA31, " - ")</f>
        <v>0.2857142857142857</v>
      </c>
      <c r="BG31" s="145">
        <f>IF(ISNUMBER((AY31+AZ31)/BA31),(AY31+AZ31)/BA31," - ")</f>
        <v>3.125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i+AEBpuG6UtI+Y/+bcokEf7yRAf1YK1hnKo+7oAZj4ufa/6vtZpoP5/5wXJAu3Zd9Ci+/GuHgKZ/lM3J4UqzA==" saltValue="xPpwTo6ymQW1GMRD6+ZU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M5LZrusB+bnX47yJijlBkxLHEeUGyW9S1ytlgcsOgvmOifDd+FEcS6Jp3WWrLU7KBO9llkDZ8L7Yz8Z35S8wg==" saltValue="4Jxo2Sc6MdKqJ1byi7XK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LA RIOJA</v>
      </c>
      <c r="F1" s="578"/>
    </row>
    <row r="2" spans="1:74" ht="16.5" customHeight="1">
      <c r="C2" s="567" t="str">
        <f>Criterios!A10 &amp;"  "&amp;Criterios!B10 &amp; "  " &amp; IF(NOT(ISBLANK(Criterios!A11)),Criterios!A11 &amp;"  "&amp;Criterios!B11,"")</f>
        <v>Provincias  LA RIOJA  Resumenes por Partidos Judiciales  HARO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38</v>
      </c>
      <c r="AI12" s="549" t="str">
        <f>IF(ISNUMBER(Datos!CD12),Datos!CD12,"-")</f>
        <v>-</v>
      </c>
      <c r="AJ12" s="549" t="str">
        <f>IF(ISNUMBER(Datos!EN12),Datos!EN12," - ")</f>
        <v xml:space="preserve"> - </v>
      </c>
      <c r="AK12" s="549"/>
      <c r="AL12" s="550"/>
      <c r="AM12" s="766">
        <f>IF(ISNUMBER(Datos!R12),Datos!R12," - ")</f>
        <v>1221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76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0.7976653696498055</v>
      </c>
      <c r="BH12" s="764">
        <f>IF(ISNUMBER(((IF(J_V="SI",Datos!L12/Datos!K12,(Datos!L12+Datos!AB12)/(Datos!K12+Datos!AA12)))*11)/factor_trimestre),((IF(J_V="SI",Datos!L12/Datos!K12,(Datos!L12+Datos!AB12)/(Datos!K12+Datos!AA12)))*11)/factor_trimestre," - ")</f>
        <v>7.7951219512195129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4.5376712328767124E-2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26</v>
      </c>
      <c r="AD14" s="1198">
        <f t="shared" si="2"/>
        <v>0</v>
      </c>
      <c r="AE14" s="1198">
        <f t="shared" si="2"/>
        <v>0</v>
      </c>
      <c r="AF14" s="1198">
        <f t="shared" si="2"/>
        <v>0</v>
      </c>
      <c r="AG14" s="1198">
        <f t="shared" si="2"/>
        <v>0</v>
      </c>
      <c r="AH14" s="1198">
        <f t="shared" si="2"/>
        <v>38</v>
      </c>
      <c r="AI14" s="1198">
        <f t="shared" si="2"/>
        <v>0</v>
      </c>
      <c r="AJ14" s="1198">
        <f t="shared" si="2"/>
        <v>0</v>
      </c>
      <c r="AK14" s="1198">
        <f t="shared" si="2"/>
        <v>0</v>
      </c>
      <c r="AL14" s="1198">
        <f t="shared" si="2"/>
        <v>0</v>
      </c>
      <c r="AM14" s="1198">
        <f t="shared" si="2"/>
        <v>1221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76</v>
      </c>
      <c r="BE14" s="1198">
        <f t="shared" si="2"/>
        <v>0</v>
      </c>
      <c r="BF14" s="1198">
        <f t="shared" si="2"/>
        <v>0</v>
      </c>
      <c r="BG14" s="1198">
        <f>IF(ISNUMBER(Datos!K14/Datos!J14),Datos!K14/Datos!J14," - ")</f>
        <v>0.73770491803278693</v>
      </c>
      <c r="BH14" s="1202">
        <f>IF(ISNUMBER(((Datos!L14/Datos!K14)*11)/factor_trimestre),((Datos!L14/Datos!K14)*11)/factor_trimestre," - ")</f>
        <v>8.4555555555555557</v>
      </c>
      <c r="BI14" s="1198">
        <f>IF(ISNUMBER('Resol  Asuntos'!D14/NºAsuntos!G14),'Resol  Asuntos'!D14/NºAsuntos!G14," - ")</f>
        <v>0.15121951219512195</v>
      </c>
      <c r="BJ14" s="1198" t="str">
        <f>IF(ISNUMBER(Datos!CI14/Datos!CJ14),Datos!CI14/Datos!CJ14," - ")</f>
        <v xml:space="preserve"> - </v>
      </c>
      <c r="BK14" s="1198">
        <f>SUBTOTAL(9,BK8:BK13)</f>
        <v>0</v>
      </c>
      <c r="BL14" s="1198" t="str">
        <f>IF(ISNUMBER((I14-AB14+L14)/(F14)),(I14-AB14+L14)/(F14)," - ")</f>
        <v xml:space="preserve"> - </v>
      </c>
      <c r="BM14" s="1203">
        <f>SUBTOTAL(9,BM9:BM13)</f>
        <v>4.5376712328767124E-2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361</v>
      </c>
      <c r="G17" s="743">
        <f>IF(ISNUMBER(IF(D_I="SI",Datos!I17,Datos!I17+Datos!AC17)),IF(D_I="SI",Datos!I17,Datos!I17+Datos!AC17)," - ")</f>
        <v>358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209</v>
      </c>
      <c r="AC17" s="240">
        <f>IF(ISNUMBER(Datos!Q17),Datos!Q17," - ")</f>
        <v>0</v>
      </c>
      <c r="AD17" s="374"/>
      <c r="AE17" s="562"/>
      <c r="AF17" s="741">
        <f>IF(ISNUMBER(IF(D_I="SI",Datos!L17,Datos!L17+Datos!AF17)),IF(D_I="SI",Datos!L17,Datos!L17+Datos!AF17)," - ")</f>
        <v>379</v>
      </c>
      <c r="AG17" s="374"/>
      <c r="AH17" s="374"/>
      <c r="AI17" s="374"/>
      <c r="AJ17" s="549"/>
      <c r="AK17" s="374"/>
      <c r="AL17" s="545"/>
      <c r="AM17" s="375">
        <f>IF(ISNUMBER(Datos!R17),Datos!R17," - ")</f>
        <v>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0.92070484581497802</v>
      </c>
      <c r="BH17" s="764">
        <f>IF(ISNUMBER(((IF(D_I="SI",Datos!L17/Datos!K17,(Datos!L17+Datos!AF17)/(Datos!K17+Datos!AE17)))*11)/factor_trimestre),((IF(D_I="SI",Datos!L17/Datos!K17,(Datos!L17+Datos!AF17)/(Datos!K17+Datos!AE17)))*11)/factor_trimestre," - ")</f>
        <v>3.6267942583732053</v>
      </c>
      <c r="BI17" s="266">
        <f>IF(ISNUMBER('Resol  Asuntos'!D17/NºAsuntos!G17),'Resol  Asuntos'!D17/NºAsuntos!G17," - ")</f>
        <v>0.21052631578947367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36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v>
      </c>
      <c r="BH18" s="764">
        <f>IF(ISNUMBER(((IF(D_I="SI",Datos!L18/Datos!K18,(Datos!L18+Datos!AF18)/(Datos!K18+Datos!AE18)))*11)/factor_trimestre),((IF(D_I="SI",Datos!L18/Datos!K18,(Datos!L18+Datos!AF18)/(Datos!K18+Datos!AE18)))*11)/factor_trimestre," - ")</f>
        <v>4</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361</v>
      </c>
      <c r="G23" s="1197">
        <f>SUBTOTAL(9,G16:G22)</f>
        <v>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227</v>
      </c>
      <c r="AC23" s="1198">
        <f t="shared" si="5"/>
        <v>0</v>
      </c>
      <c r="AD23" s="1198">
        <f t="shared" si="5"/>
        <v>0</v>
      </c>
      <c r="AE23" s="1198">
        <f t="shared" si="5"/>
        <v>0</v>
      </c>
      <c r="AF23" s="1198">
        <f t="shared" si="5"/>
        <v>415</v>
      </c>
      <c r="AG23" s="1198">
        <f t="shared" si="5"/>
        <v>0</v>
      </c>
      <c r="AH23" s="1198">
        <f t="shared" si="5"/>
        <v>0</v>
      </c>
      <c r="AI23" s="1198">
        <f t="shared" si="5"/>
        <v>0</v>
      </c>
      <c r="AJ23" s="1198">
        <f t="shared" si="5"/>
        <v>0</v>
      </c>
      <c r="AK23" s="1198">
        <f t="shared" si="5"/>
        <v>0</v>
      </c>
      <c r="AL23" s="1198">
        <f t="shared" si="5"/>
        <v>0</v>
      </c>
      <c r="AM23" s="1198">
        <f t="shared" si="5"/>
        <v>70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98</v>
      </c>
      <c r="BE23" s="1198">
        <f t="shared" si="5"/>
        <v>0</v>
      </c>
      <c r="BF23" s="1198">
        <f t="shared" si="5"/>
        <v>0</v>
      </c>
      <c r="BG23" s="1198">
        <f>IF(ISNUMBER(Datos!K23/Datos!J23),Datos!K23/Datos!J23," - ")</f>
        <v>0.90079365079365081</v>
      </c>
      <c r="BH23" s="1202">
        <f>IF(ISNUMBER(((Datos!L23/Datos!K23)*11)/factor_trimestre),((Datos!L23/Datos!K23)*11)/factor_trimestre," - ")</f>
        <v>3.6563876651982379</v>
      </c>
      <c r="BI23" s="1198">
        <f>SUBTOTAL(9,BI16:BI22)</f>
        <v>0.26608187134502925</v>
      </c>
      <c r="BJ23" s="1198">
        <f>SUBTOTAL(9,BJ16:BJ22)</f>
        <v>0</v>
      </c>
      <c r="BK23" s="1198">
        <f>SUBTOTAL(9,BK16:BK22)</f>
        <v>0</v>
      </c>
      <c r="BL23" s="1198">
        <f>IF(ISNUMBER((I23-AB23+L23)/(F23)),(I23-AB23+L23)/(F23)," - ")</f>
        <v>-0.62880886426592797</v>
      </c>
      <c r="BM23" s="1205">
        <f>IF(ISNUMBER((Datos!P23-Datos!Q23)/(Datos!R23-Datos!P23+Datos!Q23)),(Datos!P23-Datos!Q23)/(Datos!R23-Datos!P23+Datos!Q23)," - ")</f>
        <v>0.12903225806451613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361</v>
      </c>
      <c r="G31" s="1117">
        <f t="shared" si="18"/>
        <v>387</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227</v>
      </c>
      <c r="AC31" s="1118">
        <f t="shared" si="19"/>
        <v>26</v>
      </c>
      <c r="AD31" s="1118">
        <f t="shared" si="19"/>
        <v>0</v>
      </c>
      <c r="AE31" s="1118">
        <f t="shared" si="19"/>
        <v>0</v>
      </c>
      <c r="AF31" s="1125">
        <f t="shared" si="19"/>
        <v>415</v>
      </c>
      <c r="AG31" s="1125">
        <f t="shared" si="19"/>
        <v>0</v>
      </c>
      <c r="AH31" s="1125">
        <f t="shared" si="19"/>
        <v>38</v>
      </c>
      <c r="AI31" s="1125">
        <f t="shared" si="19"/>
        <v>0</v>
      </c>
      <c r="AJ31" s="1118">
        <f t="shared" si="19"/>
        <v>0</v>
      </c>
      <c r="AK31" s="1125">
        <f t="shared" si="19"/>
        <v>0</v>
      </c>
      <c r="AL31" s="1125">
        <f t="shared" si="19"/>
        <v>0</v>
      </c>
      <c r="AM31" s="1125">
        <f t="shared" si="19"/>
        <v>1291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76</v>
      </c>
      <c r="BD31" s="1117">
        <f t="shared" si="19"/>
        <v>174</v>
      </c>
      <c r="BE31" s="1117">
        <f t="shared" si="19"/>
        <v>0</v>
      </c>
      <c r="BF31" s="1127">
        <f t="shared" si="19"/>
        <v>0</v>
      </c>
      <c r="BG31" s="1223">
        <f>IF(ISNUMBER(Datos!K31/Datos!J31),Datos!K31/Datos!J31," - ")</f>
        <v>0.82056451612903225</v>
      </c>
      <c r="BH31" s="1223">
        <f>IF(ISNUMBER(((Datos!L31/Datos!K31)*11)/factor_trimestre),((Datos!L31/Datos!K31)*11)/factor_trimestre," - ")</f>
        <v>5.7788697788697787</v>
      </c>
      <c r="BI31" s="1103">
        <f>IF(ISNUMBER(Datos!J31/Datos!I31),Datos!J31/Datos!I31," - ")</f>
        <v>0.45756457564575648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-0.62880886426592797</v>
      </c>
      <c r="BM31" s="1188">
        <f>IF(ISNUMBER((Datos!P31-Datos!Q31+R31)/(Datos!R31-Datos!P31+Datos!Q31-R31)),(Datos!P31-Datos!Q31+R31)/(Datos!R31-Datos!P31+Datos!Q31-R31)," - ")</f>
        <v>4.9593495934959347E-2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186.41959839745033</v>
      </c>
      <c r="G33" s="674">
        <f>IF(ISNUMBER(STDEV(G8:G30)),STDEV(G8:G30),"-")</f>
        <v>179.43973653463451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104.95146270447842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20.688160865577203</v>
      </c>
      <c r="BD33" s="673"/>
      <c r="BE33" s="673">
        <f>IF(ISNUMBER(STDEV(BE8:BE30)),STDEV(BE8:BE30),"-")</f>
        <v>0</v>
      </c>
      <c r="BF33" s="678">
        <f>IF(ISNUMBER(STDEV(BF8:BF30)),STDEV(BF8:BF30),"-")</f>
        <v>0</v>
      </c>
      <c r="BG33" s="1052">
        <f>IF(ISNUMBER(STDEV(BG8:BG30)),STDEV(BG8:BG30),"-")</f>
        <v>9.1969268753238562E-2</v>
      </c>
      <c r="BH33" s="1058">
        <f>IF(ISNUMBER(STDEV(BH8:BH30)),STDEV(BH8:BH30),"-")</f>
        <v>2.4062663148660985</v>
      </c>
      <c r="BI33" s="273">
        <f>IF(ISNUMBER(STDEV(BI8:BI30)),STDEV(BI8:BI30),"-")</f>
        <v>9.003977686854675E-2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h0oXdgpvK07VBnUBd/HtF1kc2bmv4pK1TZNjHtNiFCGlLvfMI6CBkfynUdh+MQLxzTM7GjgY41hOoG/phvTfQ==" saltValue="ZZwAE6UjEtJ4LMTbjSb6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LA RIOJA</v>
      </c>
    </row>
    <row r="2" spans="1:73" ht="16.5" customHeight="1">
      <c r="C2" s="647" t="str">
        <f>Criterios!A10 &amp;"  "&amp;Criterios!B10 &amp; "  " &amp; IF(NOT(ISBLANK(Criterios!A11)),Criterios!A11 &amp;"  "&amp;Criterios!B11,"")</f>
        <v>Provincias  LA RIOJA  Resumenes por Partidos Judiciales  HARO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1221</v>
      </c>
      <c r="AF12" s="693" t="str">
        <f>IF(ISNUMBER(Datos!BV12),Datos!BV12," - ")</f>
        <v xml:space="preserve"> - </v>
      </c>
      <c r="AG12" s="552" t="str">
        <f>IF(ISNUMBER(Datos!DV12),Datos!DV12," - ")</f>
        <v xml:space="preserve"> - </v>
      </c>
      <c r="AH12" s="553"/>
      <c r="AI12" s="554"/>
      <c r="AJ12" s="552">
        <f>IF(ISNUMBER(Datos!M12),Datos!M12," - ")</f>
        <v>31</v>
      </c>
      <c r="AK12" s="693">
        <f>IF(ISNUMBER(Datos!N12),Datos!N12," - ")</f>
        <v>76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7.7951219512195129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4.5376712328767124E-2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26</v>
      </c>
      <c r="AA14" s="1199">
        <f t="shared" si="3"/>
        <v>0</v>
      </c>
      <c r="AB14" s="1199">
        <f t="shared" si="3"/>
        <v>0</v>
      </c>
      <c r="AC14" s="1199">
        <f t="shared" si="3"/>
        <v>0</v>
      </c>
      <c r="AD14" s="1199">
        <f t="shared" si="3"/>
        <v>0</v>
      </c>
      <c r="AE14" s="1199">
        <f t="shared" si="3"/>
        <v>1221</v>
      </c>
      <c r="AF14" s="1211">
        <f t="shared" si="3"/>
        <v>0</v>
      </c>
      <c r="AG14" s="1211">
        <f t="shared" si="3"/>
        <v>0</v>
      </c>
      <c r="AH14" s="1211">
        <f t="shared" si="3"/>
        <v>0</v>
      </c>
      <c r="AI14" s="1211">
        <f t="shared" si="3"/>
        <v>0</v>
      </c>
      <c r="AJ14" s="1211">
        <f t="shared" si="3"/>
        <v>31</v>
      </c>
      <c r="AK14" s="1211">
        <f t="shared" si="3"/>
        <v>76</v>
      </c>
      <c r="AL14" s="1211">
        <f t="shared" si="3"/>
        <v>0</v>
      </c>
      <c r="AM14" s="1211">
        <f t="shared" si="3"/>
        <v>0</v>
      </c>
      <c r="AN14" s="1211">
        <f t="shared" si="3"/>
        <v>0</v>
      </c>
      <c r="AO14" s="1203">
        <f>IF(ISNUMBER(((NºAsuntos!I14/NºAsuntos!G14)*11)/factor_trimestre),((NºAsuntos!I14/NºAsuntos!G14)*11)/factor_trimestre," - ")</f>
        <v>7.7951219512195129</v>
      </c>
      <c r="AP14" s="1213" t="str">
        <f>IF(ISNUMBER(Datos!CI14/Datos!CJ14),Datos!CI14/Datos!CJ14," - ")</f>
        <v xml:space="preserve"> - </v>
      </c>
      <c r="AQ14" s="1236">
        <f t="shared" ref="AQ14:AV14" si="4">SUBTOTAL(9,AQ9:AQ13)</f>
        <v>0</v>
      </c>
      <c r="AR14" s="1236">
        <f t="shared" si="4"/>
        <v>4.5376712328767124E-2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361</v>
      </c>
      <c r="G17" s="552">
        <f>IF(ISNUMBER(IF(D_I="SI",Datos!I17,Datos!I17+Datos!AC17)),IF(D_I="SI",Datos!I17,Datos!I17+Datos!AC17)," - ")</f>
        <v>358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209</v>
      </c>
      <c r="Z17" s="805">
        <f>IF(ISNUMBER(Datos!Q17),Datos!Q17," - ")</f>
        <v>0</v>
      </c>
      <c r="AA17" s="551">
        <f>IF(ISNUMBER(IF(D_I="SI",Datos!L17,Datos!L17+Datos!AF17)),IF(D_I="SI",Datos!L17,Datos!L17+Datos!AF17)," - ")</f>
        <v>379</v>
      </c>
      <c r="AB17" s="549"/>
      <c r="AC17" s="549"/>
      <c r="AD17" s="563"/>
      <c r="AE17" s="563">
        <f>IF(ISNUMBER(Datos!R17),Datos!R17," - ")</f>
        <v>70</v>
      </c>
      <c r="AF17" s="693" t="str">
        <f>IF(ISNUMBER(Datos!BV17),Datos!BV17," - ")</f>
        <v xml:space="preserve"> - </v>
      </c>
      <c r="AG17" s="552"/>
      <c r="AH17" s="553"/>
      <c r="AI17" s="554"/>
      <c r="AJ17" s="552">
        <f>IF(ISNUMBER(Datos!M17),Datos!M17," - ")</f>
        <v>44</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3.6267942583732053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36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361</v>
      </c>
      <c r="G23" s="1197">
        <f>SUBTOTAL(9,G16:G22)</f>
        <v>387</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227</v>
      </c>
      <c r="Z23" s="1240">
        <f t="shared" si="6"/>
        <v>0</v>
      </c>
      <c r="AA23" s="1240">
        <f t="shared" si="6"/>
        <v>415</v>
      </c>
      <c r="AB23" s="1240">
        <f t="shared" si="6"/>
        <v>0</v>
      </c>
      <c r="AC23" s="1240">
        <f t="shared" si="6"/>
        <v>0</v>
      </c>
      <c r="AD23" s="1240">
        <f t="shared" si="6"/>
        <v>0</v>
      </c>
      <c r="AE23" s="1240">
        <f t="shared" si="6"/>
        <v>70</v>
      </c>
      <c r="AF23" s="1240">
        <f t="shared" si="6"/>
        <v>0</v>
      </c>
      <c r="AG23" s="1240">
        <f t="shared" si="6"/>
        <v>0</v>
      </c>
      <c r="AH23" s="1240">
        <f t="shared" si="6"/>
        <v>0</v>
      </c>
      <c r="AI23" s="1240">
        <f t="shared" si="6"/>
        <v>0</v>
      </c>
      <c r="AJ23" s="1240">
        <f t="shared" si="6"/>
        <v>45</v>
      </c>
      <c r="AK23" s="1240">
        <f t="shared" si="6"/>
        <v>98</v>
      </c>
      <c r="AL23" s="1240">
        <f t="shared" si="6"/>
        <v>0</v>
      </c>
      <c r="AM23" s="1240">
        <f t="shared" si="6"/>
        <v>0</v>
      </c>
      <c r="AN23" s="1240">
        <f t="shared" si="6"/>
        <v>0</v>
      </c>
      <c r="AO23" s="1242">
        <f>IF(ISNUMBER(((NºAsuntos!I23/NºAsuntos!G23)*11)/factor_trimestre),((NºAsuntos!I23/NºAsuntos!G23)*11)/factor_trimestre," - ")</f>
        <v>3.6563876651982379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361</v>
      </c>
      <c r="G31" s="1117">
        <f t="shared" si="12"/>
        <v>387</v>
      </c>
      <c r="H31" s="1118">
        <f t="shared" si="12"/>
        <v>0</v>
      </c>
      <c r="I31" s="1117">
        <f t="shared" si="12"/>
        <v>0</v>
      </c>
      <c r="J31" s="1119">
        <f t="shared" si="12"/>
        <v>0</v>
      </c>
      <c r="K31" s="1117">
        <f t="shared" si="12"/>
        <v>0</v>
      </c>
      <c r="L31" s="1120">
        <f t="shared" si="12"/>
        <v>0</v>
      </c>
      <c r="M31" s="1117">
        <f t="shared" si="12"/>
        <v>0</v>
      </c>
      <c r="N31" s="1118">
        <f t="shared" si="12"/>
        <v>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227</v>
      </c>
      <c r="Z31" s="1124">
        <f t="shared" si="13"/>
        <v>26</v>
      </c>
      <c r="AA31" s="1125">
        <f t="shared" si="13"/>
        <v>415</v>
      </c>
      <c r="AB31" s="1125">
        <f t="shared" si="13"/>
        <v>0</v>
      </c>
      <c r="AC31" s="1125">
        <f t="shared" si="13"/>
        <v>0</v>
      </c>
      <c r="AD31" s="1126">
        <f t="shared" si="13"/>
        <v>0</v>
      </c>
      <c r="AE31" s="1126">
        <f t="shared" si="13"/>
        <v>1291</v>
      </c>
      <c r="AF31" s="1127">
        <f t="shared" si="13"/>
        <v>0</v>
      </c>
      <c r="AG31" s="1128">
        <f t="shared" si="13"/>
        <v>0</v>
      </c>
      <c r="AH31" s="1129">
        <f t="shared" si="13"/>
        <v>0</v>
      </c>
      <c r="AI31" s="1127">
        <f t="shared" si="13"/>
        <v>0</v>
      </c>
      <c r="AJ31" s="1117">
        <f t="shared" si="13"/>
        <v>76</v>
      </c>
      <c r="AK31" s="1117">
        <f t="shared" si="13"/>
        <v>174</v>
      </c>
      <c r="AL31" s="1117">
        <f t="shared" si="13"/>
        <v>0</v>
      </c>
      <c r="AM31" s="1130">
        <f t="shared" si="13"/>
        <v>0</v>
      </c>
      <c r="AN31" s="1120">
        <f>IF(ISNUMBER(Datos!K31/Datos!J31),Datos!K31/Datos!J31," - ")</f>
        <v>0.82056451612903225</v>
      </c>
      <c r="AO31" s="1120">
        <f>IF(ISNUMBER(FIND("06",Criterios!A8,1)),(IF(ISNUMBER(((Datos!R31/Datos!Q31)*11)/factor_trimestre),((Datos!R31/Datos!Q31)*11)/factor_trimestre," - ")),(IF(ISNUMBER(((Datos!L31/Datos!K31)*11)/factor_trimestre),((Datos!L31/Datos!K31)*11)/factor_trimestre," - ")))</f>
        <v>5.7788697788697787</v>
      </c>
      <c r="AP31" s="1131" t="str">
        <f>IF(ISNUMBER(Datos!CI31/Datos!CJ31),Datos!CI31/Datos!CJ31," - ")</f>
        <v xml:space="preserve"> - </v>
      </c>
      <c r="AQ31" s="1131">
        <f>IF(OR(ISNUMBER(FIND("01",Criterios!A8,1)),ISNUMBER(FIND("02",Criterios!A8,1)),ISNUMBER(FIND("03",Criterios!A8,1)),ISNUMBER(FIND("04",Criterios!A8,1))),(J31-Y31+K31)/(F31-K31),(I31-Y31+K31)/(F31-K31))</f>
        <v>-0.62880886426592797</v>
      </c>
      <c r="AR31" s="1131">
        <f>IF(ISNUMBER((Datos!P31-Datos!Q31+O31)/(Datos!R31-Datos!P31+Datos!Q31-O31)),(Datos!P31-Datos!Q31+O31)/(Datos!R31-Datos!P31+Datos!Q31-O31)," - ")</f>
        <v>4.9593495934959347E-2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186.41959839745033</v>
      </c>
      <c r="G33" s="674">
        <f>IF(ISNUMBER(STDEV(G8:G30)),STDEV(G8:G30),"-")</f>
        <v>179.43973653463451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20.688160865577203</v>
      </c>
      <c r="AK33" s="276"/>
      <c r="AL33" s="276">
        <f>IF(ISNUMBER(STDEV(AL8:AL30)),STDEV(AL8:AL30),"-")</f>
        <v>0</v>
      </c>
      <c r="AM33" s="278">
        <f>IF(ISNUMBER(STDEV(AM8:AM30)),STDEV(AM8:AM30),"-")</f>
        <v>0</v>
      </c>
      <c r="AN33" s="660">
        <f>IF(ISNUMBER(STDEV(AN8:AN30)),STDEV(AN8:AN30),"-")</f>
        <v>0</v>
      </c>
      <c r="AO33" s="661">
        <f>IF(ISNUMBER(STDEV(AO8:AO30)),STDEV(AO8:AO30),"-")</f>
        <v>2.2144105702383872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31th/L5RhEG2eDYS4SCQ2XVm7tUMICAa9TA6NuWdNOSe0cERt4DeGrg2vVn5ungxQrkkU0tg1F/EUSM/q5XMw==" saltValue="whHKwLu27Vm0EkMRqepT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ldGUPLKVn49sTyNP1IsQgBtJ9siJcoRR0iY1OvVp2nX01HZBPTH3SKUqPIhSD0hNo81t01bi17QhnoDSTRbgw==" saltValue="XZTGO79C5qQHGGxN5Kjy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LA RIOJA</v>
      </c>
    </row>
    <row r="4" spans="1:155" ht="13.5" thickBot="1">
      <c r="A4" t="str">
        <f>Criterios!A10</f>
        <v>Provincias</v>
      </c>
      <c r="B4" t="str">
        <f>Criterios!B10</f>
        <v>LA RIOJA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ivO1LwP5KTejHQa1UtkjxA5T2l/yriv7JENDkQsYbzWDc1311ew0GTxzXX2H/ZfkgeljP87t3Vp58s3/fLt6g==" saltValue="JRiszfeCzJeuJTPsd+h+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LA RIOJA</v>
      </c>
      <c r="F1" s="856"/>
    </row>
    <row r="2" spans="1:75" ht="16.5" customHeight="1">
      <c r="C2" s="567" t="str">
        <f>Criterios!A10 &amp;"  "&amp;Criterios!B10 &amp; "  " &amp; IF(NOT(ISBLANK(Criterios!A11)),Criterios!A11 &amp;"  "&amp;Criterios!B11,"")</f>
        <v>Provincias  LA RIOJA  Resumenes por Partidos Judiciales  HARO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0.15121951219512195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0.10692834252089255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ILjdQZPoGh+IEJn70F2ceddQIOAlTa0ohuxkncb22kjYRLPx2ICKgtgMSGlgnmLcPsZvRMVKHeNrfYQIiCw1g==" saltValue="Bd+x/dS5QHkX4nXx4wtP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djgxWofAZ/muvIQD4ae9+U8X2O7VKzUhExuBxREJ04mJvgAVPkXMth9ExtbwXVZ6s+HUTpDHHMuUCE/ehXXFQ==" saltValue="9grAzg2A359BzMpRZ3Bw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LA RIOJA</v>
      </c>
      <c r="C2" s="436"/>
      <c r="D2" s="436"/>
      <c r="E2" s="436"/>
      <c r="F2" s="436"/>
    </row>
    <row r="3" spans="1:14" ht="19.5">
      <c r="A3" s="438" t="s">
        <v>159</v>
      </c>
      <c r="B3" s="439" t="str">
        <f>Criterios!A10 &amp;"  "&amp;Criterios!B10</f>
        <v>Provincias  LA RIOJA</v>
      </c>
      <c r="D3" s="436"/>
      <c r="E3" s="436"/>
      <c r="F3" s="436"/>
    </row>
    <row r="4" spans="1:14" ht="13.5" thickBot="1">
      <c r="A4" s="436"/>
      <c r="B4" s="439" t="str">
        <f>Criterios!A11 &amp;"  "&amp;Criterios!B11</f>
        <v>Resumenes por Partidos Judiciales  HARO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747</v>
      </c>
      <c r="D12" s="452">
        <f>IF(ISNUMBER(C12/Datos!BH12),C12/Datos!BH12," - ")</f>
        <v>373.5</v>
      </c>
      <c r="E12" s="451">
        <f>IF(ISNUMBER(IF(J_V="SI",Datos!J12,Datos!J12+Datos!Z12)),IF(J_V="SI",Datos!J12,Datos!J12+Datos!Z12)," - ")</f>
        <v>257</v>
      </c>
      <c r="F12" s="452">
        <f>IF(ISNUMBER(E12/B12),E12/B12," - ")</f>
        <v>128.5</v>
      </c>
      <c r="G12" s="451">
        <f>IF(ISNUMBER(IF(J_V="SI",Datos!K12,Datos!K12+Datos!AA12)),IF(J_V="SI",Datos!K12,Datos!K12+Datos!AA12)," - ")</f>
        <v>205</v>
      </c>
      <c r="H12" s="452">
        <f>IF(ISNUMBER(G12/B12),G12/B12," - ")</f>
        <v>102.5</v>
      </c>
      <c r="I12" s="451">
        <f>IF(ISNUMBER(IF(J_V="SI",Datos!L12,Datos!L12+Datos!AB12)),IF(J_V="SI",Datos!L12,Datos!L12+Datos!AB12)," - ")</f>
        <v>799</v>
      </c>
      <c r="J12" s="452">
        <f>IF(ISNUMBER(I12/B12),I12/B12," - ")</f>
        <v>399.5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747</v>
      </c>
      <c r="D14" s="1147" t="str">
        <f>IF(ISNUMBER(C14/Datos!BI14),C14/Datos!BI14," - ")</f>
        <v xml:space="preserve"> - </v>
      </c>
      <c r="E14" s="1146">
        <f>SUBTOTAL(9,E8:E13)</f>
        <v>257</v>
      </c>
      <c r="F14" s="1147">
        <f>IF(ISNUMBER(E14/B14),E14/B14," - ")</f>
        <v>128.5</v>
      </c>
      <c r="G14" s="1146">
        <f>SUBTOTAL(9,G8:G13)</f>
        <v>205</v>
      </c>
      <c r="H14" s="1147">
        <f>IF(ISNUMBER(G14/B14),G14/B14," - ")</f>
        <v>102.5</v>
      </c>
      <c r="I14" s="1146">
        <f>SUBTOTAL(9,I8:I13)</f>
        <v>799</v>
      </c>
      <c r="J14" s="1147">
        <f>IF(ISNUMBER(I14/B14),I14/B14," - ")</f>
        <v>399.5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358</v>
      </c>
      <c r="D17" s="452">
        <f>IF(ISNUMBER(C17/Datos!BH17),C17/Datos!BH17," - ")</f>
        <v>179</v>
      </c>
      <c r="E17" s="451">
        <f>IF(ISNUMBER(IF(D_I="SI",Datos!J17,Datos!J17+Datos!AD17)),IF(D_I="SI",Datos!J17,Datos!J17+Datos!AD17)," - ")</f>
        <v>227</v>
      </c>
      <c r="F17" s="452">
        <f>IF(ISNUMBER(E17/B17),E17/B17," - ")</f>
        <v>113.5</v>
      </c>
      <c r="G17" s="451">
        <f>IF(ISNUMBER(IF(D_I="SI",Datos!K17,Datos!K17+Datos!AE17)),IF(D_I="SI",Datos!K17,Datos!K17+Datos!AE17)," - ")</f>
        <v>209</v>
      </c>
      <c r="H17" s="452">
        <f>IF(ISNUMBER(G17/B17),G17/B17," - ")</f>
        <v>104.5</v>
      </c>
      <c r="I17" s="451">
        <f>IF(ISNUMBER(IF(D_I="SI",Datos!L17,Datos!L17+Datos!AF17)),IF(D_I="SI",Datos!L17,Datos!L17+Datos!AF17)," - ")</f>
        <v>379</v>
      </c>
      <c r="J17" s="452">
        <f>IF(ISNUMBER(I17/B17),I17/B17," - ")</f>
        <v>189.5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v>
      </c>
      <c r="D18" s="452">
        <f>IF(ISNUMBER(C18/Datos!BH18),C18/Datos!BH18," - ")</f>
        <v>29</v>
      </c>
      <c r="E18" s="451">
        <f>IF(ISNUMBER(IF(D_I="SI",Datos!J18,Datos!J18+Datos!AD18)),IF(D_I="SI",Datos!J18,Datos!J18+Datos!AD18)," - ")</f>
        <v>25</v>
      </c>
      <c r="F18" s="452">
        <f>IF(ISNUMBER(E18/B18),E18/B18," - ")</f>
        <v>25</v>
      </c>
      <c r="G18" s="451">
        <f>IF(ISNUMBER(IF(D_I="SI",Datos!K18,Datos!K18+Datos!AE18)),IF(D_I="SI",Datos!K18,Datos!K18+Datos!AE18)," - ")</f>
        <v>18</v>
      </c>
      <c r="H18" s="452">
        <f>IF(ISNUMBER(G18/B18),G18/B18," - ")</f>
        <v>18</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387</v>
      </c>
      <c r="D23" s="1147" t="str">
        <f>IF(ISNUMBER(C23/Datos!BI23),C23/Datos!BI23," - ")</f>
        <v xml:space="preserve"> - </v>
      </c>
      <c r="E23" s="1146">
        <f>SUBTOTAL(9,E15:E22)</f>
        <v>252</v>
      </c>
      <c r="F23" s="1147">
        <f>IF(ISNUMBER(E23/B23),E23/B23," - ")</f>
        <v>126</v>
      </c>
      <c r="G23" s="1146">
        <f>SUBTOTAL(9,G15:G22)</f>
        <v>227</v>
      </c>
      <c r="H23" s="1147">
        <f>IF(ISNUMBER(G23/B23),G23/B23," - ")</f>
        <v>113.5</v>
      </c>
      <c r="I23" s="1146">
        <f>SUBTOTAL(9,I15:I22)</f>
        <v>415</v>
      </c>
      <c r="J23" s="1147">
        <f>IF(ISNUMBER(I23/B23),I23/B23," - ")</f>
        <v>207.5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1134</v>
      </c>
      <c r="D31" s="1085" t="str">
        <f>IF(ISNUMBER(C31/Datos!BI31),C31/Datos!BI31," - ")</f>
        <v xml:space="preserve"> - </v>
      </c>
      <c r="E31" s="1084">
        <f>SUBTOTAL(9,E9:E30)</f>
        <v>509</v>
      </c>
      <c r="F31" s="1085">
        <f>IF(ISNUMBER(E31/B31),E31/B31," - ")</f>
        <v>254.5</v>
      </c>
      <c r="G31" s="1084">
        <f>SUBTOTAL(9,G9:G30)</f>
        <v>432</v>
      </c>
      <c r="H31" s="1085">
        <f>IF(ISNUMBER(G31/B31),G31/B31," - ")</f>
        <v>216</v>
      </c>
      <c r="I31" s="1084">
        <f>SUBTOTAL(9,I9:I30)</f>
        <v>1214</v>
      </c>
      <c r="J31" s="1085">
        <f>IF(ISNUMBER(I31/B31),I31/B31," - ")</f>
        <v>607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VYtuCuagUWx41/MQSO8CRV1wb/aIyxZbKIIkfIlC3+1fMSkGujzJH4nRy2FRsum81Osn/gp89n7HveuAT9AZ/g==" saltValue="qDADD6NMPprGq9rhjQ/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LA RIOJA</v>
      </c>
      <c r="F1" s="856"/>
      <c r="W1"/>
      <c r="X1"/>
      <c r="BE1" s="856"/>
    </row>
    <row r="2" spans="1:65" ht="16.5" customHeight="1">
      <c r="C2" s="567" t="str">
        <f>Criterios!A10 &amp;"  "&amp;Criterios!B10 &amp; "  " &amp; IF(NOT(ISBLANK(Criterios!A11)),Criterios!A11 &amp;"  "&amp;Criterios!B11,"")</f>
        <v>Provincias  LA RIOJA  Resumenes por Partidos Judiciales  HARO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76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7.7951219512195129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4.5376712328767124E-2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79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26</v>
      </c>
      <c r="AE14" s="1257">
        <f t="shared" si="1"/>
        <v>0</v>
      </c>
      <c r="AF14" s="1257">
        <f t="shared" si="1"/>
        <v>0</v>
      </c>
      <c r="AG14" s="1257">
        <f t="shared" si="1"/>
        <v>0</v>
      </c>
      <c r="AH14" s="1257">
        <f t="shared" si="1"/>
        <v>1221</v>
      </c>
      <c r="AI14" s="1257">
        <f t="shared" si="1"/>
        <v>0</v>
      </c>
      <c r="AJ14" s="1257">
        <f t="shared" si="1"/>
        <v>0</v>
      </c>
      <c r="AK14" s="1257">
        <f t="shared" si="1"/>
        <v>0</v>
      </c>
      <c r="AL14" s="1257">
        <f t="shared" si="1"/>
        <v>31</v>
      </c>
      <c r="AM14" s="1257">
        <f t="shared" si="1"/>
        <v>76</v>
      </c>
      <c r="AN14" s="1257">
        <f t="shared" si="1"/>
        <v>0</v>
      </c>
      <c r="AO14" s="1257">
        <f t="shared" si="1"/>
        <v>0</v>
      </c>
      <c r="AP14" s="1262">
        <f>IF(ISNUMBER(((Datos!L14/Datos!K14)*11)/factor_trimestre),((Datos!L14/Datos!K14)*11)/factor_trimestre," - ")</f>
        <v>8.4555555555555557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4.5376712328767124E-2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3.6563876651982379</v>
      </c>
      <c r="AQ23" s="1262">
        <f>IF(ISNUMBER(((Datos!M23/Datos!L23)*11)/factor_trimestre),((Datos!M23/Datos!L23)*11)/factor_trimestre," - ")</f>
        <v>0.21686746987951808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0.12903225806451613</v>
      </c>
      <c r="AW23" s="1265">
        <f>IF(ISNUMBER((Datos!Q23-Datos!R23)/(Datos!S23-Datos!Q23+Datos!R23)),(Datos!Q23-Datos!R23)/(Datos!S23-Datos!Q23+Datos!R23)," - ")</f>
        <v>-0.20958083832335328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79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26</v>
      </c>
      <c r="AE31" s="1284">
        <f t="shared" si="9"/>
        <v>0</v>
      </c>
      <c r="AF31" s="1285">
        <f t="shared" si="9"/>
        <v>0</v>
      </c>
      <c r="AG31" s="1285">
        <f t="shared" si="9"/>
        <v>0</v>
      </c>
      <c r="AH31" s="1285">
        <f t="shared" si="9"/>
        <v>1221</v>
      </c>
      <c r="AI31" s="1285">
        <f t="shared" si="9"/>
        <v>0</v>
      </c>
      <c r="AJ31" s="1286">
        <f t="shared" si="9"/>
        <v>0</v>
      </c>
      <c r="AK31" s="1286">
        <f t="shared" si="9"/>
        <v>0</v>
      </c>
      <c r="AL31" s="1278">
        <f t="shared" si="9"/>
        <v>31</v>
      </c>
      <c r="AM31" s="1278">
        <f t="shared" si="9"/>
        <v>76</v>
      </c>
      <c r="AN31" s="1278">
        <f t="shared" si="9"/>
        <v>0</v>
      </c>
      <c r="AO31" s="1278">
        <f t="shared" si="9"/>
        <v>0</v>
      </c>
      <c r="AP31" s="1278">
        <f>IF(ISNUMBER(((Datos!L31/Datos!K31)*11)/factor_trimestre),((Datos!L31/Datos!K31)*11)/factor_trimestre," - ")</f>
        <v>5.7788697788697787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4.9593495934959347E-2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2.6011954455551454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LrgxCNipSyc+VBcFHzDaN/YEiWUPoPmdYL3nV5gkLVVKWibCELLa9zObIk1hCZqRxbTiOjUOHTHiBxiOGv2+Q==" saltValue="rKzjl8TqkNTH3x636XFv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LA RIOJA</v>
      </c>
      <c r="C2" s="436"/>
      <c r="E2" s="436"/>
      <c r="F2" s="436"/>
      <c r="G2" s="436"/>
      <c r="H2" s="436"/>
    </row>
    <row r="3" spans="1:15" ht="39">
      <c r="A3" s="463" t="s">
        <v>280</v>
      </c>
      <c r="B3" s="439" t="str">
        <f>Criterios!A10 &amp;"  "&amp;Criterios!B10</f>
        <v>Provincias  LA RIOJA</v>
      </c>
      <c r="C3" s="463"/>
      <c r="F3" s="436"/>
      <c r="G3" s="436"/>
      <c r="H3" s="436"/>
    </row>
    <row r="4" spans="1:15" ht="13.5" thickBot="1">
      <c r="A4" s="436"/>
      <c r="B4" s="439" t="str">
        <f>Criterios!A11 &amp;"  "&amp;Criterios!B11</f>
        <v>Resumenes por Partidos Judiciales  HARO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klqDYiyRsiSSuVfaf4i8F7n8K3HgRhqq7GAx1wNdsSyY/ffKmjb4MMyH10+Fp3qbV9v4M3HleJasFPe7sobw==" saltValue="AfoxbYJJEPu3uOIt0NrV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LA RIOJA</v>
      </c>
      <c r="C2" s="475"/>
      <c r="D2" s="418"/>
    </row>
    <row r="3" spans="1:9" ht="19.5">
      <c r="A3" s="476" t="s">
        <v>16</v>
      </c>
      <c r="B3" s="477" t="str">
        <f>Criterios!A10 &amp;"  "&amp;Criterios!B10</f>
        <v>Provincias  LA RIOJA</v>
      </c>
      <c r="C3" s="475"/>
      <c r="D3" s="476"/>
    </row>
    <row r="4" spans="1:9" ht="13.5" thickBot="1">
      <c r="B4" s="477" t="str">
        <f>Criterios!A11 &amp;"  "&amp;Criterios!B11</f>
        <v>Resumenes por Partidos Judiciales  HARO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v>
      </c>
      <c r="E12" s="452">
        <f t="shared" si="0"/>
        <v>15.5</v>
      </c>
      <c r="F12" s="451">
        <f>IF(ISNUMBER(Datos!N12),Datos!N12," - ")</f>
        <v>76</v>
      </c>
      <c r="G12" s="452">
        <f t="shared" si="1"/>
        <v>38</v>
      </c>
      <c r="H12" s="451">
        <f>IF(ISNUMBER(Datos!O12),Datos!O12," - ")</f>
        <v>110</v>
      </c>
      <c r="I12" s="452">
        <f t="shared" si="2"/>
        <v>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v>
      </c>
      <c r="E14" s="1147">
        <f t="shared" si="0"/>
        <v>10.333333333333334</v>
      </c>
      <c r="F14" s="1146">
        <f>SUBTOTAL(9,F9:F13)</f>
        <v>76</v>
      </c>
      <c r="G14" s="1147">
        <f t="shared" si="1"/>
        <v>25.333333333333332</v>
      </c>
      <c r="H14" s="1146">
        <f>SUBTOTAL(9,H9:H13)</f>
        <v>110</v>
      </c>
      <c r="I14" s="1147">
        <f>IF(ISNUMBER(H14/B14),H14/B14," - ")</f>
        <v>36.666666666666664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44</v>
      </c>
      <c r="E17" s="452">
        <f t="shared" si="3"/>
        <v>22</v>
      </c>
      <c r="F17" s="451">
        <f>IF(ISNUMBER(Datos!N17),Datos!N17," - ")</f>
        <v>86</v>
      </c>
      <c r="G17" s="452">
        <f t="shared" si="4"/>
        <v>43</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98</v>
      </c>
      <c r="G23" s="1147">
        <f t="shared" si="4"/>
        <v>32.666666666666664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76</v>
      </c>
      <c r="E31" s="1085">
        <f>IF(ISNUMBER(D31/B31),D31/B31," - ")</f>
        <v>38</v>
      </c>
      <c r="F31" s="1084">
        <f>SUBTOTAL(9,F8:F30)</f>
        <v>174</v>
      </c>
      <c r="G31" s="1085">
        <f>IF(ISNUMBER(F31/B31),F31/B31," - ")</f>
        <v>87</v>
      </c>
      <c r="H31" s="1084">
        <f>SUBTOTAL(9,H8:H30)</f>
        <v>110</v>
      </c>
      <c r="I31" s="1085">
        <f>IF(ISNUMBER(H31/B31),H31/B31," - ")</f>
        <v>55</v>
      </c>
    </row>
    <row r="34" spans="1:1">
      <c r="A34" s="439" t="str">
        <f>Criterios!A4</f>
        <v>Fecha Informe: 06 may. 2023</v>
      </c>
    </row>
    <row r="39" spans="1:1">
      <c r="A39" s="462"/>
    </row>
  </sheetData>
  <sheetProtection algorithmName="SHA-512" hashValue="aCSfDKgkCTNUsaIPRssVjmA7462e0xukZc8+L9gL+zn+YCBf52r1V0WbNMqUvY55xplhTyRdGDnRk3lbAtFaug==" saltValue="grLF2x5APK7cdML7agDX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LA RIOJA</v>
      </c>
    </row>
    <row r="3" spans="1:4" ht="19.5">
      <c r="A3" s="484" t="s">
        <v>48</v>
      </c>
      <c r="B3" s="439" t="str">
        <f>Criterios!A10 &amp;"  "&amp;Criterios!B10</f>
        <v>Provincias  LA RIOJA</v>
      </c>
    </row>
    <row r="4" spans="1:4" ht="13.5" thickBot="1">
      <c r="B4" s="439" t="str">
        <f>Criterios!A11 &amp;"  "&amp;Criterios!B11</f>
        <v>Resumenes por Partidos Judiciales  HARO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79</v>
      </c>
      <c r="C12" s="489">
        <f>IF(ISNUMBER(Datos!Q12),Datos!Q12," - ")</f>
        <v>26</v>
      </c>
      <c r="D12" s="456">
        <f>IF(ISNUMBER(Datos!R12),Datos!R12," - ")</f>
        <v>1221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v>
      </c>
      <c r="C14" s="1150">
        <f>SUBTOTAL(9,C9:C13)</f>
        <v>26</v>
      </c>
      <c r="D14" s="1148">
        <f>SUBTOTAL(9,D9:D13)</f>
        <v>1221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0</v>
      </c>
      <c r="D17" s="456">
        <f>IF(ISNUMBER(Datos!R17),Datos!R17," - ")</f>
        <v>70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0</v>
      </c>
      <c r="D23" s="1148">
        <f>SUBTOTAL(9,D16:D22)</f>
        <v>70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v>
      </c>
      <c r="C31" s="1089">
        <f>SUBTOTAL(9,C8:C30)</f>
        <v>26</v>
      </c>
      <c r="D31" s="1090">
        <f>SUBTOTAL(9,D8:D30)</f>
        <v>1291</v>
      </c>
    </row>
    <row r="32" spans="1:4" ht="7.5" customHeight="1"/>
    <row r="33" spans="1:1" ht="6" customHeight="1"/>
    <row r="34" spans="1:1">
      <c r="A34" s="439" t="str">
        <f>Criterios!A4</f>
        <v>Fecha Informe: 06 may. 2023</v>
      </c>
    </row>
    <row r="39" spans="1:1">
      <c r="A39" s="462"/>
    </row>
  </sheetData>
  <sheetProtection algorithmName="SHA-512" hashValue="cVt+fSi7ctwgqXlAh0c6zlw0OW651Pa74QFnyhwAabUPjD5D9DHGz/TJ+XsSoYOO6m5Ik7coT1vXJ3g9/MMSEA==" saltValue="x7AaBHkloSfXFzFJD+xQ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LA RIOJA</v>
      </c>
    </row>
    <row r="3" spans="1:11" ht="18.75" customHeight="1">
      <c r="A3" s="484" t="s">
        <v>162</v>
      </c>
      <c r="B3" s="439" t="str">
        <f>Criterios!A10 &amp;"  "&amp;Criterios!B10</f>
        <v>Provincias  LA RIOJA</v>
      </c>
    </row>
    <row r="4" spans="1:11" ht="10.5" customHeight="1" thickBot="1">
      <c r="B4" s="439" t="str">
        <f>Criterios!A11 &amp;"  "&amp;Criterios!B11</f>
        <v>Resumenes por Partidos Judiciales  HARO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0.31978798586572438</v>
      </c>
      <c r="C12" s="515">
        <f>IF(ISNUMBER(
   IF(J_V="SI",(Datos!J12-Datos!T12)/Datos!T12,(Datos!J12+Datos!Z12-(Datos!T12+Datos!AH12))/(Datos!T12+Datos!AH12))
     ),IF(J_V="SI",(Datos!J12-Datos!T12)/Datos!T12,(Datos!J12+Datos!Z12-(Datos!T12+Datos!AH12))/(Datos!T12+Datos!AH12))," - ")</f>
        <v>0</v>
      </c>
      <c r="D12" s="515">
        <f>IF(ISNUMBER(
   IF(J_V="SI",(Datos!K12-Datos!U12)/Datos!U12,(Datos!K12+Datos!AA12-(Datos!U12+Datos!AI12))/(Datos!U12+Datos!AI12))
     ),IF(J_V="SI",(Datos!K12-Datos!U12)/Datos!U12,(Datos!K12+Datos!AA12-(Datos!U12+Datos!AI12))/(Datos!U12+Datos!AI12))," - ")</f>
        <v>-3.3018867924528301E-2</v>
      </c>
      <c r="E12" s="515">
        <f>IF(ISNUMBER(
   IF(J_V="SI",(Datos!L12-Datos!V12)/Datos!V12,(Datos!L12+Datos!AB12-(Datos!V12+Datos!AJ12))/(Datos!V12+Datos!AJ12))
     ),IF(J_V="SI",(Datos!L12-Datos!V12)/Datos!V12,(Datos!L12+Datos!AB12-(Datos!V12+Datos!AJ12))/(Datos!V12+Datos!AJ12))," - ")</f>
        <v>0.30769230769230771</v>
      </c>
      <c r="F12" s="515">
        <f>IF(ISNUMBER((Datos!M12-Datos!W12)/Datos!W12),(Datos!M12-Datos!W12)/Datos!W12," - ")</f>
        <v>-0.47457627118644069</v>
      </c>
      <c r="G12" s="516">
        <f>IF(ISNUMBER((Datos!N12-Datos!X12)/Datos!X12),(Datos!N12-Datos!X12)/Datos!X12," - ")</f>
        <v>4.1095890410958902E-2</v>
      </c>
      <c r="H12" s="514">
        <f>IF(ISNUMBER(((NºAsuntos!G12/NºAsuntos!E12)-Datos!BD12)/Datos!BD12),((NºAsuntos!G12/NºAsuntos!E12)-Datos!BD12)/Datos!BD12," - ")</f>
        <v>-3.3018867924528184E-2</v>
      </c>
      <c r="I12" s="515">
        <f>IF(ISNUMBER(((NºAsuntos!I12/NºAsuntos!G12)-Datos!BE12)/Datos!BE12),((NºAsuntos!I12/NºAsuntos!G12)-Datos!BE12)/Datos!BE12," - ")</f>
        <v>0.35234521575984978</v>
      </c>
      <c r="J12" s="521">
        <f>IF(ISNUMBER((('Resol  Asuntos'!D12/NºAsuntos!G12)-Datos!BF12)/Datos!BF12),(('Resol  Asuntos'!D12/NºAsuntos!G12)-Datos!BF12)/Datos!BF12," - ")</f>
        <v>-0.56084196458402935</v>
      </c>
      <c r="K12" s="522">
        <f>IF(ISNUMBER((((NºAsuntos!C12+NºAsuntos!E12)/NºAsuntos!G12)-Datos!BG12)/Datos!BG12),(((NºAsuntos!C12+NºAsuntos!E12)/NºAsuntos!G12)-Datos!BG12)/Datos!BG12," - ")</f>
        <v>0.26158314317043524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0.31514084507042256</v>
      </c>
      <c r="C14" s="1152">
        <f>IF(ISNUMBER(
   IF(J_V="SI",(Datos!J14-Datos!T14)/Datos!T14,(Datos!J14+Datos!Z14-(Datos!T14+Datos!AH14))/(Datos!T14+Datos!AH14))
     ),IF(J_V="SI",(Datos!J14-Datos!T14)/Datos!T14,(Datos!J14+Datos!Z14-(Datos!T14+Datos!AH14))/(Datos!T14+Datos!AH14))," - ")</f>
        <v>-7.7220077220077222E-3</v>
      </c>
      <c r="D14" s="1152">
        <f>IF(ISNUMBER(
   IF(J_V="SI",(Datos!K14-Datos!U14)/Datos!U14,(Datos!K14+Datos!AA14-(Datos!U14+Datos!AI14))/(Datos!U14+Datos!AI14))
     ),IF(J_V="SI",(Datos!K14-Datos!U14)/Datos!U14,(Datos!K14+Datos!AA14-(Datos!U14+Datos!AI14))/(Datos!U14+Datos!AI14))," - ")</f>
        <v>-4.6511627906976744E-2</v>
      </c>
      <c r="E14" s="1152">
        <f>IF(ISNUMBER(
   IF(J_V="SI",(Datos!L14-Datos!V14)/Datos!V14,(Datos!L14+Datos!AB14-(Datos!V14+Datos!AJ14))/(Datos!V14+Datos!AJ14))
     ),IF(J_V="SI",(Datos!L14-Datos!V14)/Datos!V14,(Datos!L14+Datos!AB14-(Datos!V14+Datos!AJ14))/(Datos!V14+Datos!AJ14))," - ")</f>
        <v>0.30555555555555558</v>
      </c>
      <c r="F14" s="1153">
        <f>IF(ISNUMBER((Datos!M14-Datos!W14)/Datos!W14),(Datos!M14-Datos!W14)/Datos!W14," - ")</f>
        <v>-0.48333333333333334</v>
      </c>
      <c r="G14" s="1154">
        <f>IF(ISNUMBER((Datos!N14-Datos!X14)/Datos!X14),(Datos!N14-Datos!X14)/Datos!X14," - ")</f>
        <v>4.1095890410958902E-2</v>
      </c>
      <c r="H14" s="1154">
        <f>IF(ISNUMBER(((NºAsuntos!G14/NºAsuntos!E14)-Datos!BD14)/Datos!BD14),((NºAsuntos!G14/NºAsuntos!E14)-Datos!BD14)/Datos!BD14," - ")</f>
        <v>-3.9091484933490128E-2</v>
      </c>
      <c r="I14" s="1154">
        <f>IF(ISNUMBER(((NºAsuntos!I14/NºAsuntos!G14)-Datos!BE14)/Datos!BE14),((NºAsuntos!I14/NºAsuntos!G14)-Datos!BE14)/Datos!BE14," - ")</f>
        <v>0.36924119241192416</v>
      </c>
      <c r="J14" s="1154">
        <f>IF(ISNUMBER((('Resol  Asuntos'!D14/NºAsuntos!G14)-Datos!BF14)/Datos!BF14),(('Resol  Asuntos'!D14/NºAsuntos!G14)-Datos!BF14)/Datos!BF14," - ")</f>
        <v>-0.5606460118655241</v>
      </c>
      <c r="K14" s="1154">
        <f>IF(ISNUMBER((((NºAsuntos!C14+NºAsuntos!E14)/NºAsuntos!G14)-Datos!BG14)/Datos!BG14),(((NºAsuntos!C14+NºAsuntos!E14)/NºAsuntos!G14)-Datos!BG14)/Datos!BG14," - ")</f>
        <v>0.27324741203881203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0.432</v>
      </c>
      <c r="C17" s="515">
        <f>IF(ISNUMBER(
   IF(D_I="SI",(Datos!J17-Datos!T17)/Datos!T17,(Datos!J17+Datos!AD17-(Datos!T17+Datos!AL17))/(Datos!T17+Datos!AL17))
     ),IF(D_I="SI",(Datos!J17-Datos!T17)/Datos!T17,(Datos!J17+Datos!AD17-(Datos!T17+Datos!AL17))/(Datos!T17+Datos!AL17))," - ")</f>
        <v>-0.17153284671532848</v>
      </c>
      <c r="D17" s="515">
        <f>IF(ISNUMBER(
   IF(D_I="SI",(Datos!K17-Datos!U17)/Datos!U17,(Datos!K17+Datos!AE17-(Datos!U17+Datos!AM17))/(Datos!U17+Datos!AM17))
     ),IF(D_I="SI",(Datos!K17-Datos!U17)/Datos!U17,(Datos!K17+Datos!AE17-(Datos!U17+Datos!AM17))/(Datos!U17+Datos!AM17))," - ")</f>
        <v>1.4563106796116505E-2</v>
      </c>
      <c r="E17" s="515">
        <f>IF(ISNUMBER(
   IF(D_I="SI",(Datos!L17-Datos!V17)/Datos!V17,(Datos!L17+Datos!AF17-(Datos!V17+Datos!AN17))/(Datos!V17+Datos!AN17))
     ),IF(D_I="SI",(Datos!L17-Datos!V17)/Datos!V17,(Datos!L17+Datos!AF17-(Datos!V17+Datos!AN17))/(Datos!V17+Datos!AN17))," - ")</f>
        <v>0.18808777429467086</v>
      </c>
      <c r="F17" s="515">
        <f>IF(ISNUMBER((Datos!M17-Datos!W17)/Datos!W17),(Datos!M17-Datos!W17)/Datos!W17," - ")</f>
        <v>-0.10204081632653061</v>
      </c>
      <c r="G17" s="516">
        <f>IF(ISNUMBER((Datos!N17-Datos!X17)/Datos!X17),(Datos!N17-Datos!X17)/Datos!X17," - ")</f>
        <v>1.1764705882352941E-2</v>
      </c>
      <c r="H17" s="514">
        <f>IF(ISNUMBER(((NºAsuntos!G17/NºAsuntos!E17)-Datos!BD17)/Datos!BD17),((NºAsuntos!G17/NºAsuntos!E17)-Datos!BD17)/Datos!BD17," - ")</f>
        <v>0.22462683375390285</v>
      </c>
      <c r="I17" s="515">
        <f>IF(ISNUMBER(((NºAsuntos!I17/NºAsuntos!G17)-Datos!BE17)/Datos!BE17),((NºAsuntos!I17/NºAsuntos!G17)-Datos!BE17)/Datos!BE17," - ")</f>
        <v>0.17103388279761819</v>
      </c>
      <c r="J17" s="521">
        <f>IF(ISNUMBER((('Resol  Asuntos'!D17/NºAsuntos!G17)-Datos!BF17)/Datos!BF17),(('Resol  Asuntos'!D17/NºAsuntos!G17)-Datos!BF17)/Datos!BF17," - ")</f>
        <v>-0.1149301825993556</v>
      </c>
      <c r="K17" s="522">
        <f>IF(ISNUMBER((((NºAsuntos!C17+NºAsuntos!E17)/NºAsuntos!G17)-Datos!BG17)/Datos!BG17),(((NºAsuntos!C17+NºAsuntos!E17)/NºAsuntos!G17)-Datos!BG17)/Datos!BG17," - ")</f>
        <v>0.10038715804083415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1.0714285714285714</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0.63636363636363635</v>
      </c>
      <c r="F18" s="515">
        <f>IF(ISNUMBER((Datos!M18-Datos!W18)/Datos!W18),(Datos!M18-Datos!W18)/Datos!W18," - ")</f>
        <v>-0.8</v>
      </c>
      <c r="G18" s="516">
        <f>IF(ISNUMBER((Datos!N18-Datos!X18)/Datos!X18),(Datos!N18-Datos!X18)/Datos!X18," - ")</f>
        <v>9.0909090909090912E-2</v>
      </c>
      <c r="H18" s="514">
        <f>IF(ISNUMBER(((NºAsuntos!G18/NºAsuntos!E18)-Datos!BD18)/Datos!BD18),((NºAsuntos!G18/NºAsuntos!E18)-Datos!BD18)/Datos!BD18," - ")</f>
        <v>-6.6666666666666749E-2</v>
      </c>
      <c r="I18" s="515">
        <f>IF(ISNUMBER(((NºAsuntos!I18/NºAsuntos!G18)-Datos!BE18)/Datos!BE18),((NºAsuntos!I18/NºAsuntos!G18)-Datos!BE18)/Datos!BE18," - ")</f>
        <v>1.4545454545454546</v>
      </c>
      <c r="J18" s="521">
        <f>IF(ISNUMBER((('Resol  Asuntos'!D18/NºAsuntos!G18)-Datos!BF18)/Datos!BF18),(('Resol  Asuntos'!D18/NºAsuntos!G18)-Datos!BF18)/Datos!BF18," - ")</f>
        <v>-0.7</v>
      </c>
      <c r="K18" s="522">
        <f>IF(ISNUMBER((((NºAsuntos!C18+NºAsuntos!E18)/NºAsuntos!G18)-Datos!BG18)/Datos!BG18),(((NºAsuntos!C18+NºAsuntos!E18)/NºAsuntos!G18)-Datos!BG18)/Datos!BG18," - ")</f>
        <v>0.65306122448979587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0.46590909090909088</v>
      </c>
      <c r="C23" s="1152">
        <f>IF(ISNUMBER(
   IF(Criterios!B14="SI",(Datos!J23-Datos!T23)/Datos!T23,(Datos!J23+Datos!AD23-(Datos!T23+Datos!AL23))/(Datos!T23+Datos!AL23))
     ),IF(Criterios!B14="SI",(Datos!J23-Datos!T23)/Datos!T23,(Datos!J23+Datos!AD23-(Datos!T23+Datos!AL23))/(Datos!T23+Datos!AL23))," - ")</f>
        <v>-0.18446601941747573</v>
      </c>
      <c r="D23" s="1152">
        <f>IF(ISNUMBER(
   IF(Criterios!B14="SI",(Datos!K23-Datos!U23)/Datos!U23,(Datos!K23+Datos!AE23-(Datos!U23+Datos!AM23))/(Datos!U23+Datos!AM23))
     ),IF(Criterios!B14="SI",(Datos!K23-Datos!U23)/Datos!U23,(Datos!K23+Datos!AE23-(Datos!U23+Datos!AM23))/(Datos!U23+Datos!AM23))," - ")</f>
        <v>-2.575107296137339E-2</v>
      </c>
      <c r="E23" s="1152">
        <f>IF(ISNUMBER(
   IF(Criterios!B14="SI",(Datos!L23-Datos!V23)/Datos!V23,(Datos!L23+Datos!AF23-(Datos!V23+Datos!AN23))/(Datos!V23+Datos!AN23))
     ),IF(Criterios!B14="SI",(Datos!L23-Datos!V23)/Datos!V23,(Datos!L23+Datos!AF23-(Datos!V23+Datos!AN23))/(Datos!V23+Datos!AN23))," - ")</f>
        <v>0.21700879765395895</v>
      </c>
      <c r="F23" s="1153">
        <f>IF(ISNUMBER((Datos!M23-Datos!W23)/Datos!W23),(Datos!M23-Datos!W23)/Datos!W23," - ")</f>
        <v>-0.16666666666666666</v>
      </c>
      <c r="G23" s="1154">
        <f>IF(ISNUMBER((Datos!N23-Datos!X23)/Datos!X23),(Datos!N23-Datos!X23)/Datos!X23," - ")</f>
        <v>2.0833333333333332E-2</v>
      </c>
      <c r="H23" s="1154">
        <f>IF(ISNUMBER(((NºAsuntos!G23/NºAsuntos!E23)-Datos!BD23)/Datos!BD23),((NºAsuntos!G23/NºAsuntos!E23)-Datos!BD23)/Datos!BD23," - ")</f>
        <v>0.19461475577355403</v>
      </c>
      <c r="I23" s="1154">
        <f>IF(ISNUMBER(((NºAsuntos!I23/NºAsuntos!G23)-Datos!BE23)/Datos!BE23),((NºAsuntos!I23/NºAsuntos!G23)-Datos!BE23)/Datos!BE23," - ")</f>
        <v>0.24917643107212523</v>
      </c>
      <c r="J23" s="1154">
        <f>IF(ISNUMBER((('Resol  Asuntos'!D23/NºAsuntos!G23)-Datos!BF23)/Datos!BF23),(('Resol  Asuntos'!D23/NºAsuntos!G23)-Datos!BF23)/Datos!BF23," - ")</f>
        <v>-0.14464023494860503</v>
      </c>
      <c r="K23" s="1154">
        <f>IF(ISNUMBER((((NºAsuntos!C23+NºAsuntos!E23)/NºAsuntos!G23)-Datos!BG23)/Datos!BG23),(((NºAsuntos!C23+NºAsuntos!E23)/NºAsuntos!G23)-Datos!BG23)/Datos!BG23," - ")</f>
        <v>0.14465945522061016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0.36298076923076922</v>
      </c>
      <c r="C31" s="1092">
        <f>IF(ISNUMBER(
   IF(J_V="SI",(Datos!J31-Datos!T31)/Datos!T31,(Datos!J31+Datos!Z31-(Datos!T31+Datos!AH31))/(Datos!T31+Datos!AH31))
     ),IF(J_V="SI",(Datos!J31-Datos!T31)/Datos!T31,(Datos!J31+Datos!Z31-(Datos!T31+Datos!AH31))/(Datos!T31+Datos!AH31))," - ")</f>
        <v>-0.10387323943661972</v>
      </c>
      <c r="D31" s="1092">
        <f>IF(ISNUMBER(
   IF(J_V="SI",(Datos!K31-Datos!U31)/Datos!U31,(Datos!K31+Datos!AA31-(Datos!U31+Datos!AI31))/(Datos!U31+Datos!AI31))
     ),IF(J_V="SI",(Datos!K31-Datos!U31)/Datos!U31,(Datos!K31+Datos!AA31-(Datos!U31+Datos!AI31))/(Datos!U31+Datos!AI31))," - ")</f>
        <v>-3.5714285714285712E-2</v>
      </c>
      <c r="E31" s="1092">
        <f>IF(ISNUMBER(
   IF(J_V="SI",(Datos!L31-Datos!V31)/Datos!V31,(Datos!L31+Datos!AB31-(Datos!V31+Datos!AJ31))/(Datos!V31+Datos!AJ31))
     ),IF(J_V="SI",(Datos!L31-Datos!V31)/Datos!V31,(Datos!L31+Datos!AB31-(Datos!V31+Datos!AJ31))/(Datos!V31+Datos!AJ31))," - ")</f>
        <v>0.27387198321091288</v>
      </c>
      <c r="F31" s="1093">
        <f>IF(ISNUMBER((Datos!M31-Datos!W31)/Datos!W31),(Datos!M31-Datos!W31)/Datos!W31," - ")</f>
        <v>-0.33333333333333331</v>
      </c>
      <c r="G31" s="1094">
        <f>IF(ISNUMBER((Datos!N31-Datos!X31)/Datos!X31),(Datos!N31-Datos!X31)/Datos!X31," - ")</f>
        <v>2.9585798816568046E-2</v>
      </c>
      <c r="H31" s="1095">
        <f>IF(ISNUMBER((Tasas!B31-Datos!BD31)/Datos!BD31),(Tasas!B31-Datos!BD31)/Datos!BD31," - ")</f>
        <v>7.6059500420993562E-2</v>
      </c>
      <c r="I31" s="1096">
        <f>IF(ISNUMBER((Tasas!C31-Datos!BE31)/Datos!BE31),(Tasas!C31-Datos!BE31)/Datos!BE31," - ")</f>
        <v>0.32105242703353931</v>
      </c>
      <c r="J31" s="1097">
        <f>IF(ISNUMBER((Tasas!D31-Datos!BF31)/Datos!BF31),(Tasas!D31-Datos!BF31)/Datos!BF31," - ")</f>
        <v>-0.38425925925925919</v>
      </c>
      <c r="K31" s="1097">
        <f>IF(ISNUMBER((Tasas!E31-Datos!BG31)/Datos!BG31),(Tasas!E31-Datos!BG31)/Datos!BG31," - ")</f>
        <v>0.21703703703703708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0mqvv6goDnXc/5vwP5NK2qd0pT86mPyuk+jb1xVUz5zNOH5A/rqqsvFnUpBVni8SY032zdJADXPNxXWoe5JEA==" saltValue="a6daxL4b9NqD/vwZJVEL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LA RIOJA</v>
      </c>
    </row>
    <row r="3" spans="1:7" ht="19.5">
      <c r="A3" s="491" t="s">
        <v>17</v>
      </c>
      <c r="B3" s="439" t="str">
        <f>Criterios!A10 &amp;"  "&amp;Criterios!B10</f>
        <v>Provincias  LA RIOJA</v>
      </c>
    </row>
    <row r="4" spans="1:7" ht="11.25" customHeight="1" thickBot="1">
      <c r="B4" s="439" t="str">
        <f>Criterios!A11 &amp;"  "&amp;Criterios!B11</f>
        <v>Resumenes por Partidos Judiciales  HARO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0.7976653696498055</v>
      </c>
      <c r="C12" s="498">
        <f>IF(ISNUMBER(NºAsuntos!I12/NºAsuntos!G12),NºAsuntos!I12/NºAsuntos!G12," - ")</f>
        <v>3.897560975609756</v>
      </c>
      <c r="D12" s="499">
        <f>IF(ISNUMBER('Resol  Asuntos'!D12/NºAsuntos!G12),'Resol  Asuntos'!D12/NºAsuntos!G12," - ")</f>
        <v>0.15121951219512195</v>
      </c>
      <c r="E12" s="500">
        <f>IF(ISNUMBER((NºAsuntos!C12+NºAsuntos!E12)/NºAsuntos!G12),(NºAsuntos!C12+NºAsuntos!E12)/NºAsuntos!G12," - ")</f>
        <v>4.897560975609756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0.7976653696498055</v>
      </c>
      <c r="C14" s="1156">
        <f>IF(ISNUMBER(NºAsuntos!I14/NºAsuntos!G14),NºAsuntos!I14/NºAsuntos!G14," - ")</f>
        <v>3.897560975609756</v>
      </c>
      <c r="D14" s="1157">
        <f>IF(ISNUMBER('Resol  Asuntos'!D14/NºAsuntos!G14),'Resol  Asuntos'!D14/NºAsuntos!G14," - ")</f>
        <v>0.15121951219512195</v>
      </c>
      <c r="E14" s="1158">
        <f>IF(ISNUMBER((NºAsuntos!C14+NºAsuntos!E14)/NºAsuntos!G14),(NºAsuntos!C14+NºAsuntos!E14)/NºAsuntos!G14," - ")</f>
        <v>4.897560975609756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0.92070484581497802</v>
      </c>
      <c r="C17" s="498">
        <f>IF(ISNUMBER(NºAsuntos!I17/NºAsuntos!G17),NºAsuntos!I17/NºAsuntos!G17," - ")</f>
        <v>1.8133971291866029</v>
      </c>
      <c r="D17" s="499">
        <f>IF(ISNUMBER('Resol  Asuntos'!D17/NºAsuntos!G17),'Resol  Asuntos'!D17/NºAsuntos!G17," - ")</f>
        <v>0.21052631578947367</v>
      </c>
      <c r="E17" s="500">
        <f>IF(ISNUMBER((NºAsuntos!C17+NºAsuntos!E17)/NºAsuntos!G17),(NºAsuntos!C17+NºAsuntos!E17)/NºAsuntos!G17," - ")</f>
        <v>2.799043062200957</v>
      </c>
      <c r="G17" s="523"/>
    </row>
    <row r="18" spans="1:7">
      <c r="A18" s="450" t="str">
        <f>Datos!A18</f>
        <v>Jdos. Violencia contra la mujer</v>
      </c>
      <c r="B18" s="497">
        <f>IF(ISNUMBER(NºAsuntos!G18/NºAsuntos!E18),NºAsuntos!G18/NºAsuntos!E18," - ")</f>
        <v>0.72</v>
      </c>
      <c r="C18" s="498">
        <f>IF(ISNUMBER(NºAsuntos!I18/NºAsuntos!G18),NºAsuntos!I18/NºAsuntos!G18," - ")</f>
        <v>2</v>
      </c>
      <c r="D18" s="499">
        <f>IF(ISNUMBER('Resol  Asuntos'!D18/NºAsuntos!G18),'Resol  Asuntos'!D18/NºAsuntos!G18," - ")</f>
        <v>5.5555555555555552E-2</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0.90079365079365081</v>
      </c>
      <c r="C23" s="1156">
        <f>IF(ISNUMBER(NºAsuntos!I23/NºAsuntos!G23),NºAsuntos!I23/NºAsuntos!G23," - ")</f>
        <v>1.8281938325991189</v>
      </c>
      <c r="D23" s="1159">
        <f>IF(ISNUMBER('Resol  Asuntos'!D23/NºAsuntos!G23),'Resol  Asuntos'!D23/NºAsuntos!G23," - ")</f>
        <v>0.19823788546255505</v>
      </c>
      <c r="E23" s="1158">
        <f>IF(ISNUMBER((NºAsuntos!C23+NºAsuntos!E23)/NºAsuntos!G23),(NºAsuntos!C23+NºAsuntos!E23)/NºAsuntos!G23," - ")</f>
        <v>2.8149779735682818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0.84872298624754416</v>
      </c>
      <c r="C31" s="1099">
        <f>IF(ISNUMBER(NºAsuntos!I31/NºAsuntos!G31),NºAsuntos!I31/NºAsuntos!G31," - ")</f>
        <v>2.8101851851851851</v>
      </c>
      <c r="D31" s="1100">
        <f>IF(ISNUMBER('Resol  Asuntos'!D31/NºAsuntos!G31),'Resol  Asuntos'!D31/NºAsuntos!G31," - ")</f>
        <v>0.17592592592592593</v>
      </c>
      <c r="E31" s="1101">
        <f>IF(ISNUMBER((NºAsuntos!C31+NºAsuntos!E31)/NºAsuntos!G31),(NºAsuntos!C31+NºAsuntos!E31)/NºAsuntos!G31," - ")</f>
        <v>3.8032407407407409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SN7QgkwXTuYRzJCBjovJ1w5lYC2AMfyd0B5C86nPKLG5QByRGQG1OhP9Xf33p3O/xbBL8Yo4+1kCq+uMMT3MA==" saltValue="3KVrW+2mHpiBvwDTiEe7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LA RIOJA</v>
      </c>
      <c r="G2" s="369"/>
      <c r="H2" s="368"/>
      <c r="I2" s="368"/>
      <c r="J2" s="368"/>
      <c r="K2" s="368"/>
      <c r="L2" s="368" t="str">
        <f>Criterios!A10 &amp;"  "&amp;Criterios!B10</f>
        <v>Provincias  LA RIOJA</v>
      </c>
      <c r="N2" s="368" t="str">
        <f>Criterios!A11 &amp;"  "&amp;Criterios!B11</f>
        <v>Resumenes por Partidos Judiciales  HARO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0.7976653696498055</v>
      </c>
      <c r="AM12" s="284">
        <f>IF(ISNUMBER(((NºAsuntos!I12/NºAsuntos!G12)*11)/factor_trimestre),((NºAsuntos!I12/NºAsuntos!G12)*11)/factor_trimestre," - ")</f>
        <v>7.7951219512195129</v>
      </c>
      <c r="AN12" s="267">
        <f>IF(ISNUMBER('Resol  Asuntos'!D12/NºAsuntos!G12),'Resol  Asuntos'!D12/NºAsuntos!G12," - ")</f>
        <v>0.15121951219512195</v>
      </c>
      <c r="AO12" s="268">
        <f>IF(ISNUMBER((NºAsuntos!C12+NºAsuntos!E12)/NºAsuntos!G12),(NºAsuntos!C12+NºAsuntos!E12)/NºAsuntos!G12," - ")</f>
        <v>4.897560975609756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26</v>
      </c>
      <c r="Y14" s="1165">
        <f t="shared" si="6"/>
        <v>26</v>
      </c>
      <c r="Z14" s="1165">
        <f t="shared" si="6"/>
        <v>0</v>
      </c>
      <c r="AA14" s="1165">
        <f t="shared" si="6"/>
        <v>0</v>
      </c>
      <c r="AB14" s="1165">
        <f t="shared" si="6"/>
        <v>1221</v>
      </c>
      <c r="AC14" s="1165">
        <f t="shared" si="6"/>
        <v>0</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0.7976653696498055</v>
      </c>
      <c r="AM14" s="1171">
        <f>IF(ISNUMBER(((NºAsuntos!I14/NºAsuntos!G14)*11)/factor_trimestre),((NºAsuntos!I14/NºAsuntos!G14)*11)/factor_trimestre," - ")</f>
        <v>7.7951219512195129</v>
      </c>
      <c r="AN14" s="1172">
        <f>IF(ISNUMBER('Resol  Asuntos'!D14/NºAsuntos!G14),'Resol  Asuntos'!D14/NºAsuntos!G14," - ")</f>
        <v>0.15121951219512195</v>
      </c>
      <c r="AO14" s="1173">
        <f>IF(ISNUMBER((NºAsuntos!C14+NºAsuntos!E14)/NºAsuntos!G14),(NºAsuntos!C14+NºAsuntos!E14)/NºAsuntos!G14," - ")</f>
        <v>4.897560975609756</v>
      </c>
      <c r="AP14" s="1174" t="str">
        <f t="shared" si="2"/>
        <v xml:space="preserve"> - </v>
      </c>
      <c r="AQ14" s="1174" t="str">
        <f>IF(ISNUMBER((H14-W14+K14)/(F14)),(H14-W14+K14)/(F14)," - ")</f>
        <v xml:space="preserve"> - </v>
      </c>
      <c r="AR14" s="1175">
        <f>IF(ISNUMBER((Datos!P14-Datos!Q14)/(Datos!R14-Datos!P14+Datos!Q14)),(Datos!P14-Datos!Q14)/(Datos!R14-Datos!P14+Datos!Q14)," - ")</f>
        <v>4.5376712328767124E-2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361</v>
      </c>
      <c r="G17" s="373">
        <f>IF(ISNUMBER(IF(D_I="SI",Datos!I17,Datos!I17+Datos!AC17)),IF(D_I="SI",Datos!I17,Datos!I17+Datos!AC17)," - ")</f>
        <v>358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209</v>
      </c>
      <c r="X17" s="240">
        <f>IF(ISNUMBER(Datos!Q17),Datos!Q17," - ")</f>
        <v>0</v>
      </c>
      <c r="Y17" s="374">
        <f t="shared" ref="Y17:Y22" si="9">SUM(W17:X17)</f>
        <v>209</v>
      </c>
      <c r="Z17" s="375" t="str">
        <f>IF(ISNUMBER(Datos!CC17),Datos!CC17," - ")</f>
        <v xml:space="preserve"> - </v>
      </c>
      <c r="AA17" s="372">
        <f>IF(ISNUMBER(IF(D_I="SI",Datos!L17,Datos!L17+Datos!AF17)),IF(D_I="SI",Datos!L17,Datos!L17+Datos!AF17)," - ")</f>
        <v>379</v>
      </c>
      <c r="AB17" s="374">
        <f>IF(ISNUMBER(Datos!R17),Datos!R17," - ")</f>
        <v>70</v>
      </c>
      <c r="AC17" s="374">
        <f t="shared" si="8"/>
        <v>449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0.92070484581497802</v>
      </c>
      <c r="AM17" s="284">
        <f>IF(ISNUMBER(((NºAsuntos!I17/NºAsuntos!G17)*11)/factor_trimestre),((NºAsuntos!I17/NºAsuntos!G17)*11)/factor_trimestre," - ")</f>
        <v>3.6267942583732053</v>
      </c>
      <c r="AN17" s="267">
        <f>IF(ISNUMBER('Resol  Asuntos'!D17/NºAsuntos!G17),'Resol  Asuntos'!D17/NºAsuntos!G17," - ")</f>
        <v>0.21052631578947367</v>
      </c>
      <c r="AO17" s="268">
        <f>IF(ISNUMBER((NºAsuntos!C17+NºAsuntos!E17)/NºAsuntos!G17),(NºAsuntos!C17+NºAsuntos!E17)/NºAsuntos!G17," - ")</f>
        <v>2.799043062200957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36</v>
      </c>
      <c r="AB18" s="374">
        <f>IF(ISNUMBER(Datos!R18),Datos!R18," - ")</f>
        <v>0</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0.72</v>
      </c>
      <c r="AM18" s="284">
        <f>IF(ISNUMBER(((NºAsuntos!I18/NºAsuntos!G18)*11)/factor_trimestre),((NºAsuntos!I18/NºAsuntos!G18)*11)/factor_trimestre," - ")</f>
        <v>4</v>
      </c>
      <c r="AN18" s="267">
        <f>IF(ISNUMBER('Resol  Asuntos'!D18/NºAsuntos!G18),'Resol  Asuntos'!D18/NºAsuntos!G18," - ")</f>
        <v>5.5555555555555552E-2</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361</v>
      </c>
      <c r="G23" s="1163">
        <f>SUBTOTAL(9,G16:G22)</f>
        <v>387</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227</v>
      </c>
      <c r="X23" s="1164">
        <f t="shared" si="14"/>
        <v>0</v>
      </c>
      <c r="Y23" s="1165">
        <f t="shared" si="14"/>
        <v>227</v>
      </c>
      <c r="Z23" s="1165">
        <f t="shared" si="14"/>
        <v>0</v>
      </c>
      <c r="AA23" s="1165">
        <f t="shared" si="14"/>
        <v>415</v>
      </c>
      <c r="AB23" s="1165">
        <f t="shared" si="14"/>
        <v>70</v>
      </c>
      <c r="AC23" s="1165">
        <f t="shared" si="14"/>
        <v>485</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0.90079365079365081</v>
      </c>
      <c r="AM23" s="1171">
        <f>IF(ISNUMBER(((NºAsuntos!I23/NºAsuntos!G23)*11)/factor_trimestre),((NºAsuntos!I23/NºAsuntos!G23)*11)/factor_trimestre," - ")</f>
        <v>3.6563876651982379</v>
      </c>
      <c r="AN23" s="1172">
        <f>IF(ISNUMBER('Resol  Asuntos'!D23/NºAsuntos!G23),'Resol  Asuntos'!D23/NºAsuntos!G23," - ")</f>
        <v>0.19823788546255505</v>
      </c>
      <c r="AO23" s="1173">
        <f>IF(ISNUMBER((NºAsuntos!C23+NºAsuntos!E23)/NºAsuntos!G23),(NºAsuntos!C23+NºAsuntos!E23)/NºAsuntos!G23," - ")</f>
        <v>2.8149779735682818</v>
      </c>
      <c r="AP23" s="1174" t="str">
        <f t="shared" si="2"/>
        <v xml:space="preserve"> - </v>
      </c>
      <c r="AQ23" s="1174">
        <f>IF(ISNUMBER((H23-W23+K23)/(F23)),(H23-W23+K23)/(F23)," - ")</f>
        <v>-0.62880886426592797</v>
      </c>
      <c r="AR23" s="1175">
        <f>IF(ISNUMBER((Datos!P23-Datos!Q23)/(Datos!R23-Datos!P23+Datos!Q23)),(Datos!P23-Datos!Q23)/(Datos!R23-Datos!P23+Datos!Q23)," - ")</f>
        <v>0.12903225806451613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361</v>
      </c>
      <c r="G31" s="1118">
        <f t="shared" si="20"/>
        <v>387</v>
      </c>
      <c r="H31" s="1117">
        <f t="shared" si="20"/>
        <v>0</v>
      </c>
      <c r="I31" s="1119">
        <f t="shared" si="20"/>
        <v>0</v>
      </c>
      <c r="J31" s="1119">
        <f t="shared" si="20"/>
        <v>0</v>
      </c>
      <c r="K31" s="1180">
        <f t="shared" si="20"/>
        <v>0</v>
      </c>
      <c r="L31" s="1119">
        <f t="shared" si="20"/>
        <v>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227</v>
      </c>
      <c r="X31" s="1118">
        <f t="shared" si="21"/>
        <v>26</v>
      </c>
      <c r="Y31" s="1125">
        <f t="shared" si="21"/>
        <v>253</v>
      </c>
      <c r="Z31" s="1125">
        <f t="shared" si="21"/>
        <v>0</v>
      </c>
      <c r="AA31" s="1125">
        <f t="shared" si="21"/>
        <v>415</v>
      </c>
      <c r="AB31" s="1125">
        <f t="shared" si="21"/>
        <v>1291</v>
      </c>
      <c r="AC31" s="1125">
        <f t="shared" si="21"/>
        <v>485</v>
      </c>
      <c r="AD31" s="1125">
        <f t="shared" si="21"/>
        <v>0</v>
      </c>
      <c r="AE31" s="1127">
        <f t="shared" si="21"/>
        <v>0</v>
      </c>
      <c r="AF31" s="1128">
        <f t="shared" si="21"/>
        <v>0</v>
      </c>
      <c r="AG31" s="1129">
        <f t="shared" si="21"/>
        <v>0</v>
      </c>
      <c r="AH31" s="1127">
        <f t="shared" si="21"/>
        <v>0</v>
      </c>
      <c r="AI31" s="1117">
        <f t="shared" si="21"/>
        <v>76</v>
      </c>
      <c r="AJ31" s="1117">
        <f t="shared" si="21"/>
        <v>0</v>
      </c>
      <c r="AK31" s="1127">
        <f t="shared" si="21"/>
        <v>0</v>
      </c>
      <c r="AL31" s="1183">
        <f>IF(ISNUMBER(NºAsuntos!G31/NºAsuntos!E31),NºAsuntos!G31/NºAsuntos!E31," - ")</f>
        <v>0.84872298624754416</v>
      </c>
      <c r="AM31" s="1184">
        <f>IF(ISNUMBER(((NºAsuntos!I31/NºAsuntos!G31)*11)/factor_trimestre),((NºAsuntos!I31/NºAsuntos!G31)*11)/factor_trimestre," - ")</f>
        <v>5.6203703703703702</v>
      </c>
      <c r="AN31" s="1184">
        <f>IF(ISNUMBER('Resol  Asuntos'!D31/NºAsuntos!G31),'Resol  Asuntos'!D31/NºAsuntos!G31," - ")</f>
        <v>0.17592592592592593</v>
      </c>
      <c r="AO31" s="1185">
        <f>IF(ISNUMBER((NºAsuntos!C31+NºAsuntos!E31)/NºAsuntos!G31),(NºAsuntos!C31+NºAsuntos!E31)/NºAsuntos!G31," - ")</f>
        <v>3.8032407407407409</v>
      </c>
      <c r="AP31" s="1186" t="str">
        <f t="shared" si="2"/>
        <v xml:space="preserve"> - </v>
      </c>
      <c r="AQ31" s="1187">
        <f>IF(OR(ISNUMBER(FIND("01",Criterios!A8,1)),ISNUMBER(FIND("02",Criterios!A8,1)),ISNUMBER(FIND("03",Criterios!A8,1)),ISNUMBER(FIND("04",Criterios!A8,1))),(I31-W31+K31)/(F31-K31),(H31-W31+K31)/(F31-K31))</f>
        <v>-0.62880886426592797</v>
      </c>
      <c r="AR31" s="1188">
        <f>IF(ISNUMBER((Datos!P31-Datos!Q31)/(Datos!R31-Datos!P31+Datos!Q31)),(Datos!P31-Datos!Q31)/(Datos!R31-Datos!P31+Datos!Q31)," - ")</f>
        <v>4.9593495934959347E-2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186.41959839745033</v>
      </c>
      <c r="G33" s="277">
        <f>IF(ISNUMBER(STDEV(G8:G30)),STDEV(G8:G30),"-")</f>
        <v>179.43973653463451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104.95146270447842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20.688160865577203</v>
      </c>
      <c r="AJ33" s="276">
        <f t="shared" si="25"/>
        <v>0</v>
      </c>
      <c r="AK33" s="278">
        <f t="shared" si="25"/>
        <v>0</v>
      </c>
      <c r="AL33" s="273">
        <f t="shared" si="25"/>
        <v>8.2757889172917515E-2</v>
      </c>
      <c r="AM33" s="274">
        <f t="shared" si="25"/>
        <v>2.2144105702383872</v>
      </c>
      <c r="AN33" s="274">
        <f t="shared" si="25"/>
        <v>6.0944410436696669E-2</v>
      </c>
      <c r="AO33" s="275">
        <f t="shared" si="25"/>
        <v>1.1126141483328393</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Vnfqr3CRaDdBc3uoc92ySZz3qQpYTBhFBGYc0J0PDfUoKF/zPpsI1bdavsHIJkxlgZUcyub78YKJzcfld4i0g==" saltValue="oHOkgH/eki27aOP3g0Mg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LA RIOJA</v>
      </c>
      <c r="E2" s="287"/>
    </row>
    <row r="3" spans="2:20" ht="17.25" customHeight="1">
      <c r="C3" s="291"/>
      <c r="D3" s="286" t="str">
        <f>Criterios!A10 &amp;"  "&amp;Criterios!B10</f>
        <v>Provincias  LA RIOJA</v>
      </c>
      <c r="E3" s="287"/>
    </row>
    <row r="4" spans="2:20" ht="17.25" customHeight="1" thickBot="1">
      <c r="D4" s="286" t="str">
        <f>Criterios!A11 &amp;"  "&amp;Criterios!B11</f>
        <v>Resumenes por Partidos Judiciales  HARO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-0.47457627118644069</v>
      </c>
      <c r="I12" s="395">
        <f>IF(ISNUMBER((Tasas!C12-Datos!BE12)/Datos!BE12),(Tasas!C12-Datos!BE12)/Datos!BE12," - ")</f>
        <v>0.35234521575984978</v>
      </c>
      <c r="J12" s="394">
        <f>IF(ISNUMBER((Tasas!D12-Datos!BF12)/Datos!BF12),(Tasas!D12-Datos!BF12)/Datos!BF12," - ")</f>
        <v>-0.56084196458402935</v>
      </c>
      <c r="K12" s="396">
        <f>IF(ISNUMBER((Tasas!E12-Datos!BG12)/Datos!BG12),(Tasas!E12-Datos!BG12)/Datos!BG12," - ")</f>
        <v>0.26158314317043524</v>
      </c>
      <c r="M12" t="e">
        <f>IF(Monitorios="SI",Datos!CE12,0)</f>
        <v>#REF!</v>
      </c>
      <c r="N12" t="e">
        <f>IF(Monitorios="SI",Datos!CF12,0)</f>
        <v>#REF!</v>
      </c>
      <c r="O12" t="e">
        <f>IF(Monitorios="SI",Datos!CG12,0)</f>
        <v>#REF!</v>
      </c>
      <c r="P12" t="e">
        <f>IF(Monitorios="SI",Datos!CH12,0)</f>
        <v>#REF!</v>
      </c>
      <c r="Q12">
        <f>IF(J_V="SI",0,Datos!AG12)</f>
        <v>23</v>
      </c>
      <c r="R12">
        <f>IF(J_V="SI",0,Datos!AH12)</f>
        <v>16</v>
      </c>
      <c r="S12">
        <f>IF(J_V="SI",0,Datos!AI12)</f>
        <v>22</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-0.48333333333333334</v>
      </c>
      <c r="I14" s="402">
        <f>IF(ISNUMBER((Tasas!C14-Datos!BE14)/Datos!BE14),(Tasas!C14-Datos!BE14)/Datos!BE14," - ")</f>
        <v>0.36924119241192416</v>
      </c>
      <c r="J14" s="400">
        <f>IF(ISNUMBER((Tasas!D14-Datos!BF14)/Datos!BF14),(Tasas!D14-Datos!BF14)/Datos!BF14," - ")</f>
        <v>-0.5606460118655241</v>
      </c>
      <c r="K14" s="403">
        <f>IF(ISNUMBER((Tasas!E14-Datos!BG14)/Datos!BG14),(Tasas!E14-Datos!BG14)/Datos!BG14," - ")</f>
        <v>0.27324741203881203</v>
      </c>
      <c r="M14" t="e">
        <f>IF(Monitorios="SI",Datos!CE14,0)</f>
        <v>#REF!</v>
      </c>
      <c r="N14" t="e">
        <f>IF(Monitorios="SI",Datos!CF14,0)</f>
        <v>#REF!</v>
      </c>
      <c r="O14" t="e">
        <f>IF(Monitorios="SI",Datos!CG14,0)</f>
        <v>#REF!</v>
      </c>
      <c r="P14" t="e">
        <f>IF(Monitorios="SI",Datos!CH14,0)</f>
        <v>#REF!</v>
      </c>
      <c r="Q14">
        <f>IF(J_V="SI",0,Datos!AG14)</f>
        <v>23</v>
      </c>
      <c r="R14">
        <f>IF(J_V="SI",0,Datos!AH14)</f>
        <v>16</v>
      </c>
      <c r="S14">
        <f>IF(J_V="SI",0,Datos!AI14)</f>
        <v>22</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0.432</v>
      </c>
      <c r="E17" s="393">
        <f>IF(ISNUMBER(
   IF(D_I="SI",(Datos!J17-Datos!T17)/Datos!T17,(Datos!J17+Datos!AD17-(Datos!T17+Datos!AL17))/(Datos!T17+Datos!AL17))
     ),IF(D_I="SI",(Datos!J17-Datos!T17)/Datos!T17,(Datos!J17+Datos!AD17-(Datos!T17+Datos!AL17))/(Datos!T17+Datos!AL17))," - ")</f>
        <v>-0.17153284671532848</v>
      </c>
      <c r="F17" s="393">
        <f>IF(ISNUMBER(
   IF(D_I="SI",(Datos!K17-Datos!U17)/Datos!U17,(Datos!K17+Datos!AE17-(Datos!U17+Datos!AM17))/(Datos!U17+Datos!AM17))
     ),IF(D_I="SI",(Datos!K17-Datos!U17)/Datos!U17,(Datos!K17+Datos!AE17-(Datos!U17+Datos!AM17))/(Datos!U17+Datos!AM17))," - ")</f>
        <v>1.4563106796116505E-2</v>
      </c>
      <c r="G17" s="394">
        <f>IF(ISNUMBER(
   IF(D_I="SI",(Datos!L17-Datos!V17)/Datos!V17,(Datos!L17+Datos!AF17-(Datos!V17+Datos!AN17))/(Datos!V17+Datos!AN17))
     ),IF(D_I="SI",(Datos!L17-Datos!V17)/Datos!V17,(Datos!L17+Datos!AF17-(Datos!V17+Datos!AN17))/(Datos!V17+Datos!AN17))," - ")</f>
        <v>0.18808777429467086</v>
      </c>
      <c r="H17" s="244">
        <f>IF(ISNUMBER((Datos!M17-Datos!W17)/Datos!W17),(Datos!M17-Datos!W17)/Datos!W17," - ")</f>
        <v>-0.10204081632653061</v>
      </c>
      <c r="I17" s="395">
        <f>IF(ISNUMBER((Tasas!C17-Datos!BE17)/Datos!BE17),(Tasas!C17-Datos!BE17)/Datos!BE17," - ")</f>
        <v>0.17103388279761819</v>
      </c>
      <c r="J17" s="394">
        <f>IF(ISNUMBER((Tasas!D17-Datos!BF17)/Datos!BF17),(Tasas!D17-Datos!BF17)/Datos!BF17," - ")</f>
        <v>-0.1149301825993556</v>
      </c>
      <c r="K17" s="396">
        <f>IF(ISNUMBER((Tasas!E17-Datos!BG17)/Datos!BG17),(Tasas!E17-Datos!BG17)/Datos!BG17," - ")</f>
        <v>0.10038715804083415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1.0714285714285714</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0.63636363636363635</v>
      </c>
      <c r="H18" s="244">
        <f>IF(ISNUMBER((Datos!M18-Datos!W18)/Datos!W18),(Datos!M18-Datos!W18)/Datos!W18," - ")</f>
        <v>-0.8</v>
      </c>
      <c r="I18" s="395">
        <f>IF(ISNUMBER((Tasas!C18-Datos!BE18)/Datos!BE18),(Tasas!C18-Datos!BE18)/Datos!BE18," - ")</f>
        <v>1.4545454545454546</v>
      </c>
      <c r="J18" s="394">
        <f>IF(ISNUMBER((Tasas!D18-Datos!BF18)/Datos!BF18),(Tasas!D18-Datos!BF18)/Datos!BF18," - ")</f>
        <v>-0.7</v>
      </c>
      <c r="K18" s="396">
        <f>IF(ISNUMBER((Tasas!E18-Datos!BG18)/Datos!BG18),(Tasas!E18-Datos!BG18)/Datos!BG18," - ")</f>
        <v>0.65306122448979587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0.46590909090909088</v>
      </c>
      <c r="E23" s="399">
        <f>IF(ISNUMBER(
   IF(D_I="SI",(Datos!J23-Datos!T23)/Datos!T23,(Datos!J23+Datos!AD23-(Datos!T23+Datos!AL23))/(Datos!T23+Datos!AL23))
     ),IF(D_I="SI",(Datos!J23-Datos!T23)/Datos!T23,(Datos!J23+Datos!AD23-(Datos!T23+Datos!AL23))/(Datos!T23+Datos!AL23))," - ")</f>
        <v>-0.18446601941747573</v>
      </c>
      <c r="F23" s="399">
        <f>IF(ISNUMBER(
   IF(D_I="SI",(Datos!K23-Datos!U23)/Datos!U23,(Datos!K23+Datos!AE23-(Datos!U23+Datos!AM23))/(Datos!U23+Datos!AM23))
     ),IF(D_I="SI",(Datos!K23-Datos!U23)/Datos!U23,(Datos!K23+Datos!AE23-(Datos!U23+Datos!AM23))/(Datos!U23+Datos!AM23))," - ")</f>
        <v>-2.575107296137339E-2</v>
      </c>
      <c r="G23" s="400">
        <f>IF(ISNUMBER(
   IF(D_I="SI",(Datos!L23-Datos!V23)/Datos!V23,(Datos!L23+Datos!AF23-(Datos!V23+Datos!AN23))/(Datos!V23+Datos!AN23))
     ),IF(D_I="SI",(Datos!L23-Datos!V23)/Datos!V23,(Datos!L23+Datos!AF23-(Datos!V23+Datos!AN23))/(Datos!V23+Datos!AN23))," - ")</f>
        <v>0.21700879765395895</v>
      </c>
      <c r="H23" s="401">
        <f>IF(ISNUMBER((Datos!M23-Datos!W23)/Datos!W23),(Datos!M23-Datos!W23)/Datos!W23," - ")</f>
        <v>-0.16666666666666666</v>
      </c>
      <c r="I23" s="402">
        <f>IF(ISNUMBER((Tasas!C23-Datos!BE23)/Datos!BE23),(Tasas!C23-Datos!BE23)/Datos!BE23," - ")</f>
        <v>0.24917643107212523</v>
      </c>
      <c r="J23" s="400">
        <f>IF(ISNUMBER((Tasas!D23-Datos!BF23)/Datos!BF23),(Tasas!D23-Datos!BF23)/Datos!BF23," - ")</f>
        <v>-0.14464023494860503</v>
      </c>
      <c r="K23" s="403">
        <f>IF(ISNUMBER((Tasas!E23-Datos!BG23)/Datos!BG23),(Tasas!E23-Datos!BG23)/Datos!BG23," - ")</f>
        <v>0.14465945522061016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0.36298076923076922</v>
      </c>
      <c r="E31" s="409">
        <f>IF(ISNUMBER(
   IF(J_V="SI",(Datos!J31-Datos!T31)/Datos!T31,(Datos!J31+Datos!Z31-(Datos!T31+Datos!AH31))/(Datos!T31+Datos!AH31))
     ),IF(J_V="SI",(Datos!J31-Datos!T31)/Datos!T31,(Datos!J31+Datos!Z31-(Datos!T31+Datos!AH31))/(Datos!T31+Datos!AH31))," - ")</f>
        <v>-0.10387323943661972</v>
      </c>
      <c r="F31" s="409">
        <f>IF(ISNUMBER(
   IF(J_V="SI",(Datos!K31-Datos!U31)/Datos!U31,(Datos!K31+Datos!AA31-(Datos!U31+Datos!AI31))/(Datos!U31+Datos!AI31))
     ),IF(J_V="SI",(Datos!K31-Datos!U31)/Datos!U31,(Datos!K31+Datos!AA31-(Datos!U31+Datos!AI31))/(Datos!U31+Datos!AI31))," - ")</f>
        <v>-3.5714285714285712E-2</v>
      </c>
      <c r="G31" s="410">
        <f>IF(ISNUMBER(
   IF(J_V="SI",(Datos!L31-Datos!V31)/Datos!V31,(Datos!L31+Datos!AB31-(Datos!V31+Datos!AJ31))/(Datos!V31+Datos!AJ31))
     ),IF(J_V="SI",(Datos!L31-Datos!V31)/Datos!V31,(Datos!L31+Datos!AB31-(Datos!V31+Datos!AJ31))/(Datos!V31+Datos!AJ31))," - ")</f>
        <v>0.27387198321091288</v>
      </c>
      <c r="H31" s="411">
        <f>IF(ISNUMBER((Datos!M31-Datos!W31)/Datos!W31),(Datos!M31-Datos!W31)/Datos!W31," - ")</f>
        <v>-0.33333333333333331</v>
      </c>
      <c r="I31" s="408">
        <f>IF(ISNUMBER((Tasas!C31-Datos!BE31)/Datos!BE31),(Tasas!C31-Datos!BE31)/Datos!BE31," - ")</f>
        <v>0.32105242703353931</v>
      </c>
      <c r="J31" s="409">
        <f>IF(ISNUMBER((Tasas!D31-Datos!BF31)/Datos!BF31),(Tasas!D31-Datos!BF31)/Datos!BF31," - ")</f>
        <v>-0.38425925925925919</v>
      </c>
      <c r="K31" s="410">
        <f>IF(ISNUMBER((Tasas!E31-Datos!BG31)/Datos!BG31),(Tasas!E31-Datos!BG31)/Datos!BG31," - ")</f>
        <v>0.21703703703703708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0.87877767168543908</v>
      </c>
      <c r="E33" s="303">
        <f t="shared" si="1"/>
        <v>0.39634932599341</v>
      </c>
      <c r="F33" s="303">
        <f t="shared" si="1"/>
        <v>0.46906002876248293</v>
      </c>
      <c r="G33" s="304">
        <f t="shared" si="1"/>
        <v>0.70403569264774413</v>
      </c>
      <c r="H33" s="310">
        <f t="shared" si="1"/>
        <v>0.34936762543805228</v>
      </c>
      <c r="I33" s="302">
        <f t="shared" si="1"/>
        <v>0.52899235151920521</v>
      </c>
      <c r="J33" s="303">
        <f t="shared" si="1"/>
        <v>0.26778564022926887</v>
      </c>
      <c r="K33" s="304">
        <f t="shared" si="1"/>
        <v>0.21789923347108547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YrXwIpuKGBinuuNn0F9Hex+XBktHBmnuTj9kJpudchW/wNPkEcANlsB4aNlpCI6D96bRANa+t5J6+qCP20VWg==" saltValue="0fYTYeGpRvvFCRSRWy34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